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ASTURIAS\"/>
    </mc:Choice>
  </mc:AlternateContent>
  <workbookProtection workbookAlgorithmName="SHA-512" workbookHashValue="3ZWgI+IUF3Xw5RmXgY59W5mU08BMsdhCWy+FAYZ6qj5lpfFoRS5VwH9van9AkZiBTnWciyyo9vgx0DprhL7q0A==" workbookSaltValue="St3oo1xvHrBr3092uyGqZA=="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BG17" i="13" s="1"/>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P13" i="14"/>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R13" i="17"/>
  <c r="E23" i="12"/>
  <c r="ER31" i="8"/>
  <c r="EL31" i="8"/>
  <c r="BE12" i="21"/>
  <c r="BE14" i="21" s="1"/>
  <c r="BE31" i="21" s="1"/>
  <c r="EQ31" i="8"/>
  <c r="EN31" i="8"/>
  <c r="BA14" i="16"/>
  <c r="M26" i="2"/>
  <c r="ES31" i="8"/>
  <c r="N25" i="11"/>
  <c r="R8" i="9"/>
  <c r="BH11" i="16" s="1"/>
  <c r="F16" i="11"/>
  <c r="AQ16" i="11" s="1"/>
  <c r="EP31" i="8"/>
  <c r="AL14" i="16"/>
  <c r="AJ14" i="16"/>
  <c r="EP31" i="19"/>
  <c r="S14" i="16"/>
  <c r="P14" i="16"/>
  <c r="F13" i="16"/>
  <c r="Z14" i="17"/>
  <c r="R30" i="17"/>
  <c r="K26" i="2"/>
  <c r="N26" i="2"/>
  <c r="M23" i="2"/>
  <c r="K30" i="2"/>
  <c r="F30" i="17"/>
  <c r="F26" i="17"/>
  <c r="F14" i="7"/>
  <c r="BF22" i="11"/>
  <c r="BM13" i="11"/>
  <c r="BL11" i="11"/>
  <c r="BL21" i="11"/>
  <c r="T18" i="16"/>
  <c r="BG21" i="11"/>
  <c r="BV28" i="16"/>
  <c r="BW13" i="20"/>
  <c r="BU29" i="17"/>
  <c r="BW11" i="20"/>
  <c r="BW28" i="20"/>
  <c r="S11" i="17"/>
  <c r="S25" i="17"/>
  <c r="P16" i="17"/>
  <c r="BH25" i="16"/>
  <c r="BJ10" i="11"/>
  <c r="BF16" i="11"/>
  <c r="BI22" i="11"/>
  <c r="T14" i="20"/>
  <c r="BB26" i="13"/>
  <c r="BF16" i="8"/>
  <c r="BD9" i="8"/>
  <c r="L10" i="2"/>
  <c r="AH14" i="16"/>
  <c r="L18" i="2"/>
  <c r="AO14" i="21"/>
  <c r="X16" i="16"/>
  <c r="X23" i="16" s="1"/>
  <c r="AP14" i="16"/>
  <c r="F11" i="16"/>
  <c r="BL11" i="16" s="1"/>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AJ32" i="20"/>
  <c r="G30" i="14"/>
  <c r="G23" i="14"/>
  <c r="U18" i="11"/>
  <c r="AX32" i="20"/>
  <c r="Y32" i="20"/>
  <c r="L32" i="20"/>
  <c r="AG32" i="20"/>
  <c r="T32" i="21"/>
  <c r="F32" i="20"/>
  <c r="AF32" i="20"/>
  <c r="G26" i="14"/>
  <c r="S32" i="20"/>
  <c r="K32" i="20"/>
  <c r="AQ32" i="21"/>
  <c r="O17" i="11"/>
  <c r="H32" i="20"/>
  <c r="BF17" i="8" l="1"/>
  <c r="BF29" i="11"/>
  <c r="BH16" i="11"/>
  <c r="T9" i="11"/>
  <c r="V25" i="16"/>
  <c r="L9" i="2"/>
  <c r="L16" i="2"/>
  <c r="X21" i="20"/>
  <c r="BK10" i="11"/>
  <c r="BL22" i="11"/>
  <c r="Q16" i="17"/>
  <c r="BK20" i="11"/>
  <c r="BF12" i="11"/>
  <c r="AZ11" i="11"/>
  <c r="BV20" i="16"/>
  <c r="BU13" i="17"/>
  <c r="S21" i="17"/>
  <c r="BV11" i="16"/>
  <c r="BV21" i="16"/>
  <c r="BV13" i="16"/>
  <c r="BU25" i="17"/>
  <c r="AP18" i="20"/>
  <c r="BK18" i="11"/>
  <c r="R18" i="20"/>
  <c r="R23" i="20" s="1"/>
  <c r="BG9" i="11"/>
  <c r="BI16" i="11"/>
  <c r="BJ21" i="11"/>
  <c r="BK19" i="11"/>
  <c r="P18" i="17"/>
  <c r="S20" i="14"/>
  <c r="V20" i="14" s="1"/>
  <c r="AA11" i="16"/>
  <c r="L17" i="2"/>
  <c r="L28" i="2"/>
  <c r="BI21" i="11"/>
  <c r="BH25" i="11"/>
  <c r="AQ12" i="21"/>
  <c r="BH17" i="11"/>
  <c r="BM18" i="11"/>
  <c r="BK17" i="11"/>
  <c r="AZ25" i="11"/>
  <c r="AZ30" i="11" s="1"/>
  <c r="BH21" i="11"/>
  <c r="BL16" i="11"/>
  <c r="BL20" i="11"/>
  <c r="S16" i="16"/>
  <c r="BF20" i="11"/>
  <c r="S22" i="17"/>
  <c r="BU17" i="17"/>
  <c r="BV22" i="16"/>
  <c r="BW10" i="20"/>
  <c r="BU19" i="17"/>
  <c r="BU9" i="17"/>
  <c r="X21" i="16"/>
  <c r="BV25" i="16"/>
  <c r="BW17" i="20"/>
  <c r="BV17" i="16"/>
  <c r="BU21" i="17"/>
  <c r="BW9" i="20"/>
  <c r="BU11" i="17"/>
  <c r="BU28" i="17"/>
  <c r="BJ28" i="11"/>
  <c r="BM20" i="11"/>
  <c r="AZ21" i="11"/>
  <c r="V22" i="11"/>
  <c r="V29" i="11"/>
  <c r="BH28" i="16"/>
  <c r="AZ13" i="11"/>
  <c r="BJ12" i="11"/>
  <c r="BJ29" i="11"/>
  <c r="BH9" i="11"/>
  <c r="V21" i="11"/>
  <c r="BK16" i="11"/>
  <c r="BK9" i="11"/>
  <c r="BH19" i="11"/>
  <c r="BM29" i="11"/>
  <c r="BH19" i="16"/>
  <c r="BK13" i="11"/>
  <c r="X12" i="21"/>
  <c r="AP17" i="20"/>
  <c r="BH9" i="16"/>
  <c r="BL19" i="11"/>
  <c r="V16" i="11"/>
  <c r="BJ22" i="11"/>
  <c r="BF13" i="11"/>
  <c r="BJ18" i="11"/>
  <c r="BG25" i="11"/>
  <c r="BG10" i="11"/>
  <c r="BH16" i="16"/>
  <c r="BM17" i="11"/>
  <c r="Q18" i="20"/>
  <c r="Q23" i="20" s="1"/>
  <c r="V11" i="16"/>
  <c r="BF28" i="11"/>
  <c r="BF21" i="11"/>
  <c r="BF18" i="11"/>
  <c r="V25" i="11"/>
  <c r="BG20" i="11"/>
  <c r="BF17" i="11"/>
  <c r="BG22" i="11"/>
  <c r="BF10" i="11"/>
  <c r="BK29" i="11"/>
  <c r="BL12" i="11"/>
  <c r="AZ19" i="11"/>
  <c r="V12" i="21"/>
  <c r="BK21" i="11"/>
  <c r="BK11" i="11"/>
  <c r="V11" i="11"/>
  <c r="AZ18" i="11"/>
  <c r="BI25" i="11"/>
  <c r="AP10" i="21"/>
  <c r="BM12" i="11"/>
  <c r="AP21" i="20"/>
  <c r="V13" i="11"/>
  <c r="BH20" i="16"/>
  <c r="V9" i="11"/>
  <c r="BJ11" i="11"/>
  <c r="BI19" i="11"/>
  <c r="BH22" i="16"/>
  <c r="BJ16" i="11"/>
  <c r="R10" i="21"/>
  <c r="R14" i="21" s="1"/>
  <c r="AP22" i="20"/>
  <c r="BJ20" i="11"/>
  <c r="AP16" i="20"/>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X13" i="16"/>
  <c r="V9" i="16"/>
  <c r="V10" i="16"/>
  <c r="U9" i="17"/>
  <c r="U31" i="17" s="1"/>
  <c r="L20" i="2"/>
  <c r="X10" i="21"/>
  <c r="X19" i="16"/>
  <c r="L12" i="2"/>
  <c r="S17" i="17"/>
  <c r="S16" i="17"/>
  <c r="X22" i="16"/>
  <c r="L22" i="2"/>
  <c r="X12" i="17"/>
  <c r="BH22" i="11"/>
  <c r="BL17" i="11"/>
  <c r="BK22" i="11"/>
  <c r="BJ17" i="11"/>
  <c r="BH12" i="16"/>
  <c r="AO25" i="17"/>
  <c r="BM9" i="11"/>
  <c r="BM21" i="11"/>
  <c r="S18" i="17"/>
  <c r="BG17" i="11"/>
  <c r="BH11" i="11"/>
  <c r="BI29" i="11"/>
  <c r="BH10" i="16"/>
  <c r="S10" i="17"/>
  <c r="BL10" i="11"/>
  <c r="AO29" i="17"/>
  <c r="BL28" i="11"/>
  <c r="AQ10" i="21"/>
  <c r="BI9" i="11"/>
  <c r="BH10" i="11"/>
  <c r="BI20" i="11"/>
  <c r="Q18" i="17"/>
  <c r="BG12" i="11"/>
  <c r="T16" i="11"/>
  <c r="AZ17" i="11"/>
  <c r="S28" i="17"/>
  <c r="BV9" i="16"/>
  <c r="BU12" i="17"/>
  <c r="BW21" i="20"/>
  <c r="V12" i="16"/>
  <c r="BV29" i="16"/>
  <c r="BU18" i="17"/>
  <c r="BW22" i="20"/>
  <c r="BV10" i="16"/>
  <c r="BW29" i="20"/>
  <c r="U10" i="17"/>
  <c r="BU20" i="17"/>
  <c r="BW16" i="20"/>
  <c r="U13" i="17"/>
  <c r="BV16" i="16"/>
  <c r="BU22" i="17"/>
  <c r="BW12" i="20"/>
  <c r="BW25" i="20"/>
  <c r="BV12" i="16"/>
  <c r="BU10" i="17"/>
  <c r="BW18" i="20"/>
  <c r="X20" i="16"/>
  <c r="BV18" i="16"/>
  <c r="BW19" i="20"/>
  <c r="BV19" i="16"/>
  <c r="BU16" i="17"/>
  <c r="BW20" i="20"/>
  <c r="AZ16" i="11"/>
  <c r="AZ23" i="11" s="1"/>
  <c r="T16" i="16"/>
  <c r="BJ25" i="11"/>
  <c r="BL29" i="11"/>
  <c r="AO28" i="17"/>
  <c r="AZ9" i="11"/>
  <c r="AZ31" i="11" s="1"/>
  <c r="BM16" i="11"/>
  <c r="BG19" i="11"/>
  <c r="BH18" i="11"/>
  <c r="BL25" i="11"/>
  <c r="BL13" i="11"/>
  <c r="V20" i="11"/>
  <c r="BH13" i="11"/>
  <c r="R25" i="14"/>
  <c r="BG16" i="11"/>
  <c r="BI18" i="11"/>
  <c r="BH20" i="11"/>
  <c r="V28" i="11"/>
  <c r="BK25" i="11"/>
  <c r="BM25" i="11"/>
  <c r="Q10" i="21"/>
  <c r="BI10" i="11"/>
  <c r="BG29" i="11"/>
  <c r="S9" i="17"/>
  <c r="V18" i="16"/>
  <c r="AZ29" i="11"/>
  <c r="S18" i="16"/>
  <c r="S23" i="16" s="1"/>
  <c r="BF25" i="11"/>
  <c r="BK12" i="11"/>
  <c r="BI28" i="11"/>
  <c r="BL18" i="11"/>
  <c r="BJ19" i="11"/>
  <c r="BF19" i="11"/>
  <c r="BH18" i="16"/>
  <c r="BL9" i="11"/>
  <c r="BH21" i="16"/>
  <c r="BF11" i="11"/>
  <c r="BH30" i="16"/>
  <c r="S10" i="14"/>
  <c r="V10" i="14" s="1"/>
  <c r="S13" i="14"/>
  <c r="V13" i="14" s="1"/>
  <c r="S21" i="14"/>
  <c r="V21" i="14" s="1"/>
  <c r="S18" i="14"/>
  <c r="V18" i="14" s="1"/>
  <c r="S28" i="14"/>
  <c r="V28" i="14" s="1"/>
  <c r="R11" i="14"/>
  <c r="R18" i="14"/>
  <c r="R22" i="14"/>
  <c r="R28" i="14"/>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BD12" i="8"/>
  <c r="H12" i="7" s="1"/>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AZ26" i="1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R31" i="2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P23" i="17"/>
  <c r="P31" i="17" s="1"/>
  <c r="W31" i="8"/>
  <c r="E13" i="6"/>
  <c r="AO13" i="11"/>
  <c r="AG31" i="8"/>
  <c r="AP26" i="17"/>
  <c r="J13" i="10"/>
  <c r="L13" i="10" s="1"/>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BJ23" i="11"/>
  <c r="F18" i="11"/>
  <c r="AQ18" i="11" s="1"/>
  <c r="F11" i="11"/>
  <c r="AQ11" i="11" s="1"/>
  <c r="R23" i="11"/>
  <c r="Z26" i="11"/>
  <c r="J12" i="7"/>
  <c r="E19" i="3"/>
  <c r="E12" i="3"/>
  <c r="G21" i="3"/>
  <c r="G12" i="3"/>
  <c r="J21" i="10"/>
  <c r="L21" i="10" s="1"/>
  <c r="I21" i="10"/>
  <c r="K21" i="10" s="1"/>
  <c r="H20" i="2"/>
  <c r="J20" i="2"/>
  <c r="I9" i="7"/>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AZ14" i="11"/>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Q25" i="11"/>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K17" i="12" s="1"/>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A32" i="20"/>
  <c r="AN32" i="20"/>
  <c r="AD32" i="20"/>
  <c r="AC32" i="20"/>
  <c r="AV32" i="20"/>
  <c r="O10" i="11"/>
  <c r="AP32" i="20"/>
  <c r="U17" i="11"/>
  <c r="W32" i="21"/>
  <c r="AQ32" i="20"/>
  <c r="I16" i="12" l="1"/>
  <c r="BF23" i="13"/>
  <c r="K9" i="12"/>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E31" i="2"/>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AV32" i="21"/>
  <c r="O12" i="11"/>
  <c r="H32" i="17"/>
  <c r="J33" i="20" l="1"/>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V31" i="16" l="1"/>
  <c r="BG31" i="11"/>
  <c r="BM31" i="11"/>
  <c r="F31" i="2"/>
  <c r="BV33" i="16"/>
  <c r="BV31" i="16"/>
  <c r="K26" i="12"/>
  <c r="G31" i="3"/>
  <c r="BG31" i="8"/>
  <c r="I31" i="3"/>
  <c r="AO33" i="11"/>
  <c r="H31" i="2"/>
  <c r="S31" i="17"/>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AT32" i="11"/>
  <c r="R32" i="11"/>
  <c r="H32" i="21"/>
  <c r="N32" i="11"/>
  <c r="BA32" i="16"/>
  <c r="R32" i="21"/>
  <c r="AO32" i="16"/>
  <c r="J32" i="12"/>
  <c r="AT32" i="17"/>
  <c r="AA32" i="16"/>
  <c r="AJ32" i="11"/>
  <c r="AJ32" i="17"/>
  <c r="AI32" i="11"/>
  <c r="V32" i="21"/>
  <c r="BG32" i="16"/>
  <c r="P32" i="16"/>
  <c r="AI32" i="21"/>
  <c r="T32" i="17"/>
  <c r="AZ32" i="11"/>
  <c r="G32" i="12"/>
  <c r="AJ32" i="21"/>
  <c r="AC32" i="16"/>
  <c r="AA32" i="21"/>
  <c r="AE32" i="16"/>
  <c r="AH32" i="16"/>
  <c r="E32" i="17"/>
  <c r="S32" i="11"/>
  <c r="BE32" i="21"/>
  <c r="BC32" i="16"/>
  <c r="AU32" i="21"/>
  <c r="AG32" i="17"/>
  <c r="AC32" i="17"/>
  <c r="AF32" i="16"/>
  <c r="BK32" i="16"/>
  <c r="P32" i="17"/>
  <c r="P32" i="21"/>
  <c r="F32" i="21"/>
  <c r="Z32" i="11"/>
  <c r="W32" i="17"/>
  <c r="AV32" i="16"/>
  <c r="W32" i="11"/>
  <c r="W32" i="16"/>
  <c r="AM32" i="21"/>
  <c r="U32" i="21"/>
  <c r="AD32" i="16"/>
  <c r="S32" i="17"/>
  <c r="AV32" i="11"/>
  <c r="AG32" i="16"/>
  <c r="BH32" i="16"/>
  <c r="M32" i="11"/>
  <c r="F32" i="17"/>
  <c r="AW32" i="16"/>
  <c r="O32" i="16"/>
  <c r="AL32" i="16"/>
  <c r="BD32" i="16"/>
  <c r="J32" i="11"/>
  <c r="K32" i="16"/>
  <c r="AG32" i="21"/>
  <c r="BO32" i="16"/>
  <c r="AY32" i="11"/>
  <c r="N32" i="16"/>
  <c r="R32" i="16"/>
  <c r="AM32" i="11"/>
  <c r="Q32" i="17"/>
  <c r="J32" i="16"/>
  <c r="AN32" i="16"/>
  <c r="AE32" i="17"/>
  <c r="F32" i="16"/>
  <c r="AK32" i="11"/>
  <c r="E32" i="12"/>
  <c r="AS32" i="11"/>
  <c r="I32" i="17"/>
  <c r="AP32" i="17"/>
  <c r="AF32" i="21"/>
  <c r="K31" i="12" l="1"/>
  <c r="AQ32" i="17"/>
  <c r="AT32" i="21"/>
  <c r="AP32" i="11"/>
  <c r="AQ32" i="11"/>
  <c r="BL32" i="16"/>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<sst xmlns="http://schemas.openxmlformats.org/spreadsheetml/2006/main" count="2682" uniqueCount="1192">
  <si>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</si>
  <si>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</si>
  <si>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</si>
  <si>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</si>
  <si>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</si>
  <si>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</si>
  <si>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</si>
  <si>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</si>
  <si>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</si>
  <si>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</si>
  <si>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</si>
  <si>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</si>
  <si>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</si>
  <si>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</si>
  <si>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</si>
  <si>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</si>
  <si>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</si>
  <si>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</si>
  <si>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</si>
  <si>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</si>
  <si>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</si>
  <si>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</si>
  <si>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</si>
  <si>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</si>
  <si>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</si>
  <si>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</si>
  <si>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</si>
  <si>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</si>
  <si>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</si>
  <si>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</si>
  <si>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</si>
  <si>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</si>
  <si>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</si>
  <si>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</si>
  <si>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</si>
  <si>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</si>
  <si>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</si>
  <si>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</si>
  <si>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</si>
  <si>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</si>
  <si>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</si>
  <si>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</si>
  <si>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</si>
  <si>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</si>
  <si>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</si>
  <si>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</si>
  <si>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</si>
  <si>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</si>
  <si>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</si>
  <si>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</si>
  <si>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</si>
  <si>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</si>
  <si>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</si>
  <si>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</si>
  <si>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</si>
  <si>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</si>
  <si>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</si>
  <si>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</si>
  <si>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</si>
  <si>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</si>
  <si>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</si>
  <si>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</si>
  <si>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</si>
  <si>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</si>
  <si>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</si>
  <si>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</si>
  <si>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</si>
  <si>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</si>
  <si>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</si>
  <si>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</si>
  <si>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</si>
  <si>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</si>
  <si>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</si>
  <si>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</si>
  <si>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</si>
  <si>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</si>
  <si>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</si>
  <si>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</si>
  <si>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</si>
  <si>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</si>
  <si>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</si>
  <si>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</si>
  <si>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</si>
  <si>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</si>
  <si>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</si>
  <si>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</si>
  <si>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</si>
  <si>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</si>
  <si>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</si>
  <si>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</si>
  <si>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</si>
  <si>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</si>
  <si>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</si>
  <si>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</si>
  <si>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</si>
  <si>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</si>
  <si>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</si>
  <si>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</si>
  <si>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</si>
  <si>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</si>
  <si>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</si>
  <si>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</si>
  <si>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</si>
  <si>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</si>
  <si>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</si>
  <si>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</si>
  <si>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</si>
  <si>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</si>
  <si>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</si>
  <si>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</si>
  <si>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</si>
  <si>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</si>
  <si>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</si>
  <si>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</si>
  <si>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</si>
  <si>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</si>
  <si>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</si>
  <si>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</si>
  <si>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</si>
  <si>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</si>
  <si>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</si>
  <si>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</si>
  <si>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</si>
  <si>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</si>
  <si>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</si>
  <si>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</si>
  <si>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</si>
  <si>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</si>
  <si>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</si>
  <si>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</si>
  <si>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</si>
  <si>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</si>
  <si>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</si>
  <si>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</si>
  <si>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</si>
  <si>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</si>
  <si>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</si>
  <si>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</si>
  <si>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</si>
  <si>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</si>
  <si>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</si>
  <si>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</si>
  <si>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</si>
  <si>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</si>
  <si>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</si>
  <si>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</si>
  <si>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</si>
  <si>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</si>
  <si>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</si>
  <si>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</si>
  <si>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</si>
  <si>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</si>
  <si>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</si>
  <si>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</si>
  <si>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</si>
  <si>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</si>
  <si>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</si>
  <si>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</si>
  <si>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</si>
  <si>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</si>
  <si>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</si>
  <si>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</si>
  <si>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</si>
  <si>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</si>
  <si>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</si>
  <si>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</si>
  <si>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</si>
  <si>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</si>
  <si>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</si>
  <si>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</si>
  <si>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</si>
  <si>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</si>
  <si>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</si>
  <si>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</si>
  <si>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</si>
  <si>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</si>
  <si>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</si>
  <si>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</si>
  <si>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</si>
  <si>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</si>
  <si>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</si>
  <si>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</si>
  <si>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</si>
  <si>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</si>
  <si>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</si>
  <si>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</si>
  <si>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</si>
  <si>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</si>
  <si>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</si>
  <si>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</si>
  <si>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</si>
  <si>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</si>
  <si>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</si>
  <si>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</si>
  <si>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</si>
  <si>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</si>
  <si>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</si>
  <si>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</si>
  <si>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</si>
  <si>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</si>
  <si>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</si>
  <si>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</si>
  <si>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</si>
  <si>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</si>
  <si>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</si>
  <si>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</si>
  <si>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</si>
  <si>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</si>
  <si>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</si>
  <si>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</si>
  <si>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</si>
  <si>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</si>
  <si>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</si>
  <si>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</si>
  <si>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</si>
  <si>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</si>
  <si>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</si>
  <si>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</si>
  <si>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</si>
  <si>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</si>
  <si>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</si>
  <si>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</si>
  <si>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</si>
  <si>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</si>
  <si>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</si>
  <si>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</si>
  <si>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</si>
  <si>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</si>
  <si>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</si>
  <si>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</si>
  <si>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</si>
  <si>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</si>
  <si>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</si>
  <si>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</si>
  <si>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</si>
  <si>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</si>
  <si>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</si>
  <si>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</si>
  <si>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</si>
  <si>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</si>
  <si>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</si>
  <si>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</si>
  <si>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</si>
  <si>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</si>
  <si>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</si>
  <si>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</si>
  <si>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</si>
  <si>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</si>
  <si>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</si>
  <si>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</si>
  <si>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</si>
  <si>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</si>
  <si>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</si>
  <si>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</si>
  <si>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</si>
  <si>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</si>
  <si>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</si>
  <si>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</si>
  <si>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</si>
  <si>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</si>
  <si>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</si>
  <si>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</si>
  <si>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</si>
  <si>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</si>
  <si>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</si>
  <si>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</si>
  <si>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</si>
  <si>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</si>
  <si>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</si>
  <si>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</si>
  <si>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</si>
  <si>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</si>
  <si>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</si>
  <si>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</si>
  <si>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</si>
  <si>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</si>
  <si>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</si>
  <si>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</si>
  <si>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</si>
  <si>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</si>
  <si>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</si>
  <si>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</si>
  <si>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</si>
  <si>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</si>
  <si>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</si>
  <si>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</si>
  <si>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</si>
  <si>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</si>
  <si>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</si>
  <si>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</si>
  <si>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</si>
  <si>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</si>
  <si>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</si>
  <si>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</si>
  <si>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</si>
  <si>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</si>
  <si>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</si>
  <si>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</si>
  <si>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</si>
  <si>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</si>
  <si>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</si>
  <si>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</si>
  <si>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</si>
  <si>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</si>
  <si>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</si>
  <si>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</si>
  <si>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</si>
  <si>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</si>
  <si>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</si>
  <si>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</si>
  <si>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</si>
  <si>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</si>
  <si>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</si>
  <si>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</si>
  <si>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</si>
  <si>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</si>
  <si>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</si>
  <si>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</si>
  <si>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</si>
  <si>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</si>
  <si>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</si>
  <si>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</si>
  <si>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</si>
  <si>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</si>
  <si>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</si>
  <si>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</si>
  <si>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</si>
  <si>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</si>
  <si>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</si>
  <si>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</si>
  <si>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</si>
  <si>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</si>
  <si>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</si>
  <si>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</si>
  <si>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</si>
  <si>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</si>
  <si>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</si>
  <si>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</si>
  <si>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</si>
  <si>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</si>
  <si>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</si>
  <si>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</si>
  <si>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</si>
  <si>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</si>
  <si>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</si>
  <si>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</si>
  <si>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</si>
  <si>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</si>
  <si>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</si>
  <si>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</si>
  <si>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</si>
  <si>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</si>
  <si>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</si>
  <si>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</si>
  <si>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</si>
  <si>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</si>
  <si>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</si>
  <si>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</si>
  <si>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</si>
  <si>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</si>
  <si>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</si>
  <si>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</si>
  <si>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</si>
  <si>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</si>
  <si>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</si>
  <si>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</si>
  <si>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</si>
  <si>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</si>
  <si>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</si>
  <si>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</si>
  <si>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</si>
  <si>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</si>
  <si>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</si>
  <si>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</si>
  <si>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</si>
  <si>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</si>
  <si>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</si>
  <si>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</si>
  <si>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</si>
  <si>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</si>
  <si>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</si>
  <si>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</si>
  <si>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</si>
  <si>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</si>
  <si>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</si>
  <si>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</si>
  <si>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</si>
  <si>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</si>
  <si>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</si>
  <si>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</si>
  <si>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</si>
  <si>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</si>
  <si>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</si>
  <si>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</si>
  <si>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</si>
  <si>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</si>
  <si>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</si>
  <si>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</si>
  <si>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</si>
  <si>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</si>
  <si>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</si>
  <si>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</si>
  <si>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</si>
  <si>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</si>
  <si>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</si>
  <si>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</si>
  <si>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</si>
  <si>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</si>
  <si>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</si>
  <si>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</si>
  <si>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</si>
  <si>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</si>
  <si>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</si>
  <si>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</si>
  <si>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</si>
  <si>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</si>
  <si>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</si>
  <si>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</si>
  <si>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</si>
  <si>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</si>
  <si>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</si>
  <si>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</si>
  <si>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</si>
  <si>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</si>
  <si>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</si>
  <si>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</si>
  <si>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</si>
  <si>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</si>
  <si>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</si>
  <si>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</si>
  <si>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</si>
  <si>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</si>
  <si>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</si>
  <si>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</si>
  <si>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</si>
  <si>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</si>
  <si>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</si>
  <si>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</si>
  <si>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</si>
  <si>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</si>
  <si>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</si>
  <si>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</si>
  <si>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</si>
  <si>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</si>
  <si>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</si>
  <si>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</si>
  <si>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</si>
  <si>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</si>
  <si>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</si>
  <si>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</si>
  <si>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</si>
  <si>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</si>
  <si>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</si>
  <si>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</si>
  <si>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</si>
  <si>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</si>
  <si>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</si>
  <si>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</si>
  <si>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</si>
  <si>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</si>
  <si>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</si>
  <si>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</si>
  <si>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</si>
  <si>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</si>
  <si>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</si>
  <si>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</si>
  <si>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</si>
  <si>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</si>
  <si>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</si>
  <si>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</si>
  <si>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</si>
  <si>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</si>
  <si>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</si>
  <si>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</si>
  <si>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</si>
  <si>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</si>
  <si>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</si>
  <si>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</si>
  <si>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</si>
  <si>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</si>
  <si>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</si>
  <si>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</si>
  <si>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</si>
  <si>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</si>
  <si>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</si>
  <si>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</si>
  <si>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</si>
  <si>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</si>
  <si>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</si>
  <si>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</si>
  <si>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</si>
  <si>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</si>
  <si>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</si>
  <si>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</si>
  <si>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</si>
  <si>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</si>
  <si>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</si>
  <si>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</si>
  <si>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</si>
  <si>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</si>
  <si>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</si>
  <si>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</si>
  <si>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</si>
  <si>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</si>
  <si>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</si>
  <si>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</si>
  <si>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</si>
  <si>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</si>
  <si>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</si>
  <si>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</si>
  <si>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</si>
  <si>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</si>
  <si>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</si>
  <si>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</si>
  <si>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</si>
  <si>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</si>
  <si>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</si>
  <si>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</si>
  <si>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</si>
  <si>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</si>
  <si>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</si>
  <si>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</si>
  <si>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</si>
  <si>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</si>
  <si>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</si>
  <si>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</si>
  <si>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</si>
  <si>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</si>
  <si>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</si>
  <si>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</si>
  <si>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</si>
  <si>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</si>
  <si>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</si>
  <si>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</si>
  <si>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</si>
  <si>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</si>
  <si>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</si>
  <si>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</si>
  <si>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</si>
  <si>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</si>
  <si>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</si>
  <si>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</si>
  <si>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</si>
  <si>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</si>
  <si>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</si>
  <si>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</si>
  <si>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</si>
  <si>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</si>
  <si>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</si>
  <si>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</si>
  <si>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</si>
  <si>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</si>
  <si>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</si>
  <si>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</si>
  <si>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</si>
  <si>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</si>
  <si>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</si>
  <si>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</si>
  <si>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</si>
  <si>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</si>
  <si>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</si>
  <si>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</si>
  <si>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</si>
  <si>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</si>
  <si>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</si>
  <si>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</si>
  <si>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</si>
  <si>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</si>
  <si>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</si>
  <si>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</si>
  <si>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</si>
  <si>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</si>
  <si>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</si>
  <si>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</si>
  <si>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</si>
  <si>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</si>
  <si>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</si>
  <si>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</si>
  <si>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</si>
  <si>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</si>
  <si>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</si>
  <si>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</si>
  <si>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</si>
  <si>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</si>
  <si>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</si>
  <si>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</si>
  <si>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</si>
  <si>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</si>
  <si>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</si>
  <si>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</si>
  <si>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</si>
  <si>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</si>
  <si>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</si>
  <si>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</si>
  <si>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</si>
  <si>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</si>
  <si>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</si>
  <si>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</si>
  <si>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</si>
  <si>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</si>
  <si>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</si>
  <si>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</si>
  <si>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</si>
  <si>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</si>
  <si>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</si>
  <si>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</si>
  <si>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</si>
  <si>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</si>
  <si>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</si>
  <si>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</si>
  <si>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</si>
  <si>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</si>
  <si>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</si>
  <si>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</si>
  <si>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</si>
  <si>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</si>
  <si>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</si>
  <si>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</si>
  <si>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</si>
  <si>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</si>
  <si>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</si>
  <si>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</si>
  <si>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</si>
  <si>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</si>
  <si>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</si>
  <si>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</si>
  <si>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</si>
  <si>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</si>
  <si>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</si>
  <si>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</si>
  <si>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</si>
  <si>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</si>
  <si>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</si>
  <si>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</si>
  <si>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</si>
  <si>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</si>
  <si>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</si>
  <si>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</si>
  <si>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</si>
  <si>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</si>
  <si>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</si>
  <si>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</si>
  <si>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</si>
  <si>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</si>
  <si>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</si>
  <si>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</si>
  <si>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</si>
  <si>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</si>
  <si>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</si>
  <si>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</si>
  <si>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</si>
  <si>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</si>
  <si>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</si>
  <si>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</si>
  <si>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</si>
  <si>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</si>
  <si>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</si>
  <si>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</si>
  <si>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</si>
  <si>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</si>
  <si>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</si>
  <si>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</si>
  <si>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</si>
  <si>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</si>
  <si>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</si>
  <si>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</si>
  <si>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</si>
  <si>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</si>
  <si>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</si>
  <si>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</si>
  <si>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</si>
  <si>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</si>
  <si>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</si>
  <si>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</si>
  <si>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</si>
  <si>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</si>
  <si>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</si>
  <si>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</si>
  <si>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</si>
  <si>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</si>
  <si>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</si>
  <si>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</si>
  <si>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</si>
  <si>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</si>
  <si>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</si>
  <si>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</si>
  <si>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</si>
  <si>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</si>
  <si>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</si>
  <si>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</si>
  <si>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</si>
  <si>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</si>
  <si>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</si>
  <si>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</si>
  <si>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</si>
  <si>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</si>
  <si>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</si>
  <si>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</si>
  <si>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</si>
  <si>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</si>
  <si>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</si>
  <si>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</si>
  <si>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</si>
  <si>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</si>
  <si>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</si>
  <si>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</si>
  <si>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</si>
  <si>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</si>
  <si>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</si>
  <si>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</si>
  <si>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</si>
  <si>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</si>
  <si>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</si>
  <si>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</si>
  <si>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</si>
  <si>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</si>
  <si>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</si>
  <si>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</si>
  <si>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</si>
  <si>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</si>
  <si>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</si>
  <si>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</si>
  <si>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</si>
  <si>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</si>
  <si>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</si>
  <si>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</si>
  <si>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</si>
  <si>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</si>
  <si>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</si>
  <si>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</si>
  <si>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</si>
  <si>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</si>
  <si>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</si>
  <si>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</si>
  <si>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</si>
  <si>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</si>
  <si>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</si>
  <si>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</si>
  <si>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</si>
  <si>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</si>
  <si>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</si>
  <si>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</si>
  <si>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</si>
  <si>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</si>
  <si>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</si>
  <si>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</si>
  <si>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</si>
  <si>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</si>
  <si>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</si>
  <si>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</si>
  <si>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</si>
  <si>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</si>
  <si>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</si>
  <si>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</si>
  <si>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</si>
  <si>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</si>
  <si>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</si>
  <si>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</si>
  <si>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</si>
  <si>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</si>
  <si>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</si>
  <si>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</si>
  <si>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</si>
  <si>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</si>
  <si>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</si>
  <si>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</si>
  <si>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</si>
  <si>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</si>
  <si>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</si>
  <si>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</si>
  <si>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</si>
  <si>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</si>
  <si>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</si>
  <si>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</si>
  <si>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</si>
  <si>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</si>
  <si>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</si>
  <si>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</si>
  <si>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</si>
  <si>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</si>
  <si>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</si>
  <si>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</si>
  <si>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</si>
  <si>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</si>
  <si>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</si>
  <si>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</si>
  <si>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</si>
  <si>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</si>
  <si>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</si>
  <si>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</si>
  <si>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</si>
  <si>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</si>
  <si>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</si>
  <si>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</si>
  <si>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</si>
  <si>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</si>
  <si>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</si>
  <si>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</si>
  <si>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</si>
  <si>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</si>
  <si>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</si>
  <si>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</si>
  <si>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</si>
  <si>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</si>
  <si>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</si>
  <si>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</si>
  <si>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</si>
  <si>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</si>
  <si>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</si>
  <si>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</si>
  <si>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</si>
  <si>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</si>
  <si>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</si>
  <si>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</si>
  <si>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</si>
  <si>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</si>
  <si>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</si>
  <si>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</si>
  <si>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</si>
  <si>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</si>
  <si>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</si>
  <si>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</si>
  <si>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</si>
  <si>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</si>
  <si>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</si>
  <si>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</si>
  <si>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</si>
  <si>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</si>
  <si>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</si>
  <si>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</si>
  <si>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</si>
  <si>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</si>
  <si>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</si>
  <si>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</si>
  <si>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</si>
  <si>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</si>
  <si>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</si>
  <si>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</si>
  <si>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</si>
  <si>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</si>
  <si>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</si>
  <si>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</si>
  <si>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</si>
  <si>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</si>
  <si>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</si>
  <si>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</si>
  <si>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</si>
  <si>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</si>
  <si>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</si>
  <si>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</si>
  <si>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</si>
  <si>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</si>
  <si>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</si>
  <si>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</si>
  <si>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</si>
  <si>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</si>
  <si>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</si>
  <si>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</si>
  <si>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</si>
  <si>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</si>
  <si>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</si>
  <si>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</si>
  <si>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</si>
  <si>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</si>
  <si>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</si>
  <si>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</si>
  <si>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</si>
  <si>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</si>
  <si>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</si>
  <si>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</si>
  <si>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</si>
  <si>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</si>
  <si>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</si>
  <si>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</si>
  <si>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</si>
  <si>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</si>
  <si>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</si>
  <si>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</si>
  <si>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</si>
  <si>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</si>
  <si>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</si>
  <si>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</si>
  <si>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</si>
  <si>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</si>
  <si>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</si>
  <si>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</si>
  <si>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</si>
  <si>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</si>
  <si>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</si>
  <si>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</si>
  <si>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</si>
  <si>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</si>
  <si>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</si>
  <si>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</si>
  <si>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</si>
  <si>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</si>
  <si>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</si>
  <si>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</si>
  <si>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</si>
  <si>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</si>
  <si>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</si>
  <si>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</si>
  <si>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</si>
  <si>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</si>
  <si>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</si>
  <si>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</si>
  <si>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</si>
  <si>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</si>
  <si>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</si>
  <si>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</si>
  <si>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</si>
  <si>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</si>
  <si>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</si>
  <si>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</si>
  <si>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</si>
  <si>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</si>
  <si>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</si>
  <si>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</si>
  <si>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</si>
  <si>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</si>
  <si>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</si>
  <si>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</si>
  <si>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</si>
  <si>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</si>
  <si>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</si>
  <si>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</si>
  <si>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</si>
  <si>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</si>
  <si>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</si>
  <si>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</si>
  <si>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</si>
  <si>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</si>
  <si>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</si>
  <si>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</si>
  <si>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</si>
  <si>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</si>
  <si>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</si>
  <si>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</si>
  <si>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</si>
  <si>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</si>
  <si>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</si>
  <si>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</si>
  <si>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</si>
  <si>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</si>
  <si>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</si>
  <si>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</si>
  <si>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</si>
  <si>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</si>
  <si>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</si>
  <si>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</si>
  <si>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</si>
  <si>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</si>
  <si>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</si>
  <si>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</si>
  <si>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</si>
  <si>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</si>
  <si>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</si>
  <si>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</si>
  <si>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</si>
  <si>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</si>
  <si>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</si>
  <si>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</si>
  <si>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</si>
  <si>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</si>
  <si>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</si>
  <si>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</si>
  <si>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</si>
  <si>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</si>
  <si>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</si>
  <si>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</si>
  <si>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</si>
  <si>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</si>
  <si>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</si>
  <si>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</si>
  <si>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</si>
  <si>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</si>
  <si>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</si>
  <si>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</si>
  <si>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</si>
  <si>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</si>
  <si>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</si>
  <si>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</si>
  <si>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</si>
  <si>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</si>
  <si>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</si>
  <si>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</si>
  <si>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</si>
  <si>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</si>
  <si>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</si>
  <si>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</si>
  <si>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</si>
  <si>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</si>
  <si>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</si>
  <si>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</si>
  <si>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</si>
  <si>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</si>
  <si>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</si>
  <si>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</si>
  <si>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</si>
  <si>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</si>
  <si>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</si>
  <si>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</si>
  <si>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</si>
  <si>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</si>
  <si>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</si>
  <si>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</si>
  <si>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</si>
  <si>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</si>
  <si>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</si>
  <si>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</si>
  <si>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</si>
  <si>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</si>
  <si>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</si>
  <si>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</si>
  <si>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</si>
  <si>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</si>
  <si>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</si>
  <si>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</si>
  <si>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</si>
  <si>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</si>
  <si>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</si>
  <si>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</si>
  <si>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</si>
  <si>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</si>
  <si>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</si>
  <si>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</si>
  <si>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</si>
  <si>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</si>
  <si>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</si>
  <si>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</si>
  <si>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</si>
  <si>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</si>
  <si>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</si>
  <si>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</si>
  <si>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</si>
  <si>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</si>
  <si>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</si>
  <si>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</si>
  <si>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</si>
  <si>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</si>
  <si>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</si>
  <si>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</si>
  <si>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</si>
  <si>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</si>
  <si>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</si>
  <si>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</si>
  <si>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</si>
  <si>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</si>
  <si>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</si>
  <si>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</si>
  <si>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</si>
  <si>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</si>
  <si>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</si>
  <si>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</si>
  <si>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</si>
  <si>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</si>
  <si>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</si>
  <si>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</si>
  <si>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</si>
  <si>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</si>
  <si>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</si>
  <si>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</si>
  <si>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</si>
  <si>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</si>
  <si>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</si>
  <si>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</si>
  <si>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</si>
  <si>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</si>
  <si>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</si>
  <si>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</si>
  <si>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</si>
  <si>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</si>
  <si>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</si>
  <si>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</si>
  <si>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</si>
  <si>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</si>
  <si>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</si>
  <si>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</si>
  <si>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</si>
  <si>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</si>
  <si>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</si>
  <si>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</si>
  <si>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</si>
  <si>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</si>
  <si>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</si>
  <si>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</si>
  <si>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</si>
  <si>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</si>
  <si>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</si>
  <si>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</si>
  <si>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</si>
  <si>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</si>
  <si>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</si>
  <si>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</si>
  <si>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</si>
  <si>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</si>
  <si>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</si>
  <si>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</si>
  <si>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</si>
  <si>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</si>
  <si>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</si>
  <si>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</si>
  <si>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</si>
  <si>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</si>
  <si>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</si>
  <si>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</si>
  <si>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</si>
  <si>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</si>
  <si>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</si>
  <si>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</si>
  <si>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</si>
  <si>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</si>
  <si>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</si>
  <si>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</si>
  <si>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</si>
  <si>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</si>
  <si>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</si>
  <si>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</si>
  <si>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</si>
  <si>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</si>
  <si>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</si>
  <si>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</si>
  <si>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</si>
  <si>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</si>
  <si>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</si>
  <si>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</si>
  <si>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</si>
  <si>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</si>
  <si>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</si>
  <si>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</si>
  <si>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</si>
  <si>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</si>
  <si>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</si>
  <si>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</si>
  <si>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</si>
  <si>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</si>
  <si>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</si>
  <si>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</si>
  <si>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</si>
  <si>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</si>
  <si>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</si>
  <si>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</si>
  <si>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</si>
  <si>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</si>
  <si>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</si>
  <si>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</si>
  <si>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</si>
  <si>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</si>
  <si>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</si>
  <si>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</si>
  <si>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</si>
  <si>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</si>
  <si>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</si>
  <si>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</si>
  <si>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</si>
  <si>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</si>
  <si>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</si>
  <si>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</si>
  <si>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</si>
  <si>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</si>
  <si>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</si>
  <si>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</si>
  <si>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</si>
  <si>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</si>
  <si>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</si>
  <si>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</si>
  <si>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</si>
  <si>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</si>
  <si>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</si>
  <si>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</si>
  <si>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</si>
  <si>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</si>
  <si>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</si>
  <si>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</si>
  <si>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</si>
  <si>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</si>
  <si>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</si>
  <si>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</si>
  <si>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</si>
  <si>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</si>
  <si>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</si>
  <si>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</si>
  <si>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</si>
  <si>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</si>
  <si>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</si>
  <si>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</si>
  <si>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</si>
  <si>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</si>
  <si>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ASTURIAS</t>
  </si>
  <si>
    <t>Provincias</t>
  </si>
  <si>
    <t>Resumenes por Partidos Judiciales</t>
  </si>
  <si>
    <t>VALDES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</si>
</sst>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4</v>
      </c>
      <c r="E5" s="418"/>
      <c r="F5" s="3"/>
      <c r="H5" t="s">
        <v>546</v>
      </c>
      <c r="Q5" s="391">
        <v>3</v>
      </c>
      <c r="R5" s="391">
        <v>2</v>
      </c>
      <c r="S5" t="b">
        <f>AND(Q5&gt;=TrimIni,Q5&lt;=TrimFin)</f>
        <v>0</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1188</v>
      </c>
      <c r="C10" s="418"/>
      <c r="D10" s="418"/>
      <c r="E10" s="427"/>
      <c r="F10" s="3"/>
      <c r="Q10" s="391">
        <v>0</v>
      </c>
    </row>
    <row r="11" spans="1:19" ht="13.5" thickBot="1">
      <c r="A11" s="428" t="s">
        <v>1190</v>
      </c>
      <c r="B11" s="429" t="s">
        <v>1191</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SJIXPVzYT00BnoaKTNAu0Zu51i24sEUnL6fPJOJk7fWD9OnJZcyizzlpn2hjocjMxTDHoVKs0I6m62bjcVTOFg==" saltValue="q/qsDWxx740Mox+b8haHZ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ASTURIAS</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4 al 4</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2</v>
      </c>
      <c r="D10" s="239">
        <f>IF(ISNUMBER(Datos!I10),Datos!I10," - ")</f>
        <v>2</v>
      </c>
      <c r="E10" s="240">
        <f>IF(ISNUMBER(Datos!J10),Datos!J10," - ")</f>
        <v>1</v>
      </c>
      <c r="F10" s="240">
        <f>IF(ISNUMBER(Datos!K10),Datos!K10," - ")</f>
        <v>0</v>
      </c>
      <c r="G10" s="1390" t="str">
        <f>IF(Datos!E10&lt;&gt;"",Datos!E10,Datos!D10)</f>
        <v>37</v>
      </c>
      <c r="H10" s="241">
        <f>IF(ISNUMBER(Datos!L10),Datos!L10," - ")</f>
        <v>3</v>
      </c>
      <c r="I10" s="1400" t="str">
        <f>IF(ISNUMBER(Datos!AS10/Datos!BM10),Datos!AS10/Datos!BM10," - ")</f>
        <v xml:space="preserve"> - </v>
      </c>
      <c r="J10" s="1401">
        <f>IF(ISNUMBER(Datos!BY10/Datos!CN10),Datos!BY10/Datos!CN10," - ")</f>
        <v>0</v>
      </c>
      <c r="K10" s="244">
        <f t="shared" ref="K10:K13" si="1">IF(ISNUMBER((E10-F10)/C10),(E10-F10)/C10," - ")</f>
        <v>0.5</v>
      </c>
      <c r="L10" s="1402" t="str">
        <f>IF(ISNUMBER(NºAsuntos!I10/NºAsuntos!G10),(NºAsuntos!I10/NºAsuntos!G10)*11," - ")</f>
        <v xml:space="preserve"> - </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1</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32.476190476190482</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2</v>
      </c>
      <c r="D14" s="1407">
        <f>SUBTOTAL(9,D9:D13)</f>
        <v>2</v>
      </c>
      <c r="E14" s="1408">
        <f>SUBTOTAL(9,E9:E13)</f>
        <v>1</v>
      </c>
      <c r="F14" s="1409">
        <f>SUBTOTAL(9,F9:F13)</f>
        <v>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1</v>
      </c>
      <c r="B17" s="1461" t="str">
        <f>Datos!A17</f>
        <v xml:space="preserve">Jdos. 1ª Instª. e Instr.                        </v>
      </c>
      <c r="C17" s="239">
        <f t="shared" si="2"/>
        <v>362</v>
      </c>
      <c r="D17" s="239">
        <f>IF(ISNUMBER(IF(D_I="SI",Datos!I17,Datos!I17+Datos!AC17)),IF(D_I="SI",Datos!I17,Datos!I17+Datos!AC17)," - ")</f>
        <v>362</v>
      </c>
      <c r="E17" s="240">
        <f>IF(ISNUMBER(IF(D_I="SI",Datos!J17,Datos!J17+Datos!AD17)),IF(D_I="SI",Datos!J17,Datos!J17+Datos!AD17)," - ")</f>
        <v>198</v>
      </c>
      <c r="F17" s="240">
        <f>IF(ISNUMBER(IF(D_I="SI",Datos!K17,Datos!K17+Datos!AE17)),IF(D_I="SI",Datos!K17,Datos!K17+Datos!AE17)," - ")</f>
        <v>242</v>
      </c>
      <c r="G17" s="1390" t="str">
        <f>IF(Datos!E17&lt;&gt;"",Datos!E17,Datos!D17)</f>
        <v>04</v>
      </c>
      <c r="H17" s="241">
        <f>IF(ISNUMBER(IF(D_I="SI",Datos!L17,Datos!L17+Datos!AF17)),IF(D_I="SI",Datos!L17,Datos!L17+Datos!AF17)," - ")</f>
        <v>318</v>
      </c>
      <c r="I17" s="1400" t="str">
        <f>IF(ISNUMBER(Datos!AS17/Datos!BM17),Datos!AS17/Datos!BM17," - ")</f>
        <v xml:space="preserve"> - </v>
      </c>
      <c r="J17" s="1401">
        <f>IF(ISNUMBER(Datos!BY17/Datos!CN17),Datos!BY17/Datos!CN17," - ")</f>
        <v>0</v>
      </c>
      <c r="K17" s="244">
        <f t="shared" si="3"/>
        <v>-0.12154696132596685</v>
      </c>
      <c r="L17" s="1402">
        <f>IF(ISNUMBER(NºAsuntos!I17/NºAsuntos!G17),(NºAsuntos!I17/NºAsuntos!G17)*11," - ")</f>
        <v>14.454545454545455</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21</v>
      </c>
      <c r="D18" s="239">
        <f>IF(ISNUMBER(IF(D_I="SI",Datos!I18,Datos!I18+Datos!AC18)),IF(D_I="SI",Datos!I18,Datos!I18+Datos!AC18)," - ")</f>
        <v>21</v>
      </c>
      <c r="E18" s="240">
        <f>IF(ISNUMBER(IF(D_I="SI",Datos!J18,Datos!J18+Datos!AD18)),IF(D_I="SI",Datos!J18,Datos!J18+Datos!AD18)," - ")</f>
        <v>6</v>
      </c>
      <c r="F18" s="240">
        <f>IF(ISNUMBER(IF(D_I="SI",Datos!K18,Datos!K18+Datos!AE18)),IF(D_I="SI",Datos!K18,Datos!K18+Datos!AE18)," - ")</f>
        <v>6</v>
      </c>
      <c r="G18" s="1390" t="str">
        <f>IF(Datos!E18&lt;&gt;"",Datos!E18,Datos!D18)</f>
        <v>37</v>
      </c>
      <c r="H18" s="241">
        <f>IF(ISNUMBER(IF(D_I="SI",Datos!L18,Datos!L18+Datos!AF18)),IF(D_I="SI",Datos!L18,Datos!L18+Datos!AF18)," - ")</f>
        <v>21</v>
      </c>
      <c r="I18" s="1400" t="str">
        <f>IF(ISNUMBER(Datos!AS18/Datos!BM18),Datos!AS18/Datos!BM18," - ")</f>
        <v xml:space="preserve"> - </v>
      </c>
      <c r="J18" s="1401" t="str">
        <f>IF(ISNUMBER((Datos!BY18+Datos!BZ18)/Datos!CN18),(Datos!BY18+Datos!BZ18)/Datos!CN18," - ")</f>
        <v xml:space="preserve"> - </v>
      </c>
      <c r="K18" s="244">
        <f t="shared" si="3"/>
        <v>0</v>
      </c>
      <c r="L18" s="1402">
        <f>IF(ISNUMBER(NºAsuntos!I18/NºAsuntos!G18),(NºAsuntos!I18/NºAsuntos!G18)*11," - ")</f>
        <v>38.5</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383</v>
      </c>
      <c r="D23" s="1407">
        <f>SUBTOTAL(9,D16:D22)</f>
        <v>383</v>
      </c>
      <c r="E23" s="1408">
        <f>SUBTOTAL(9,E16:E22)</f>
        <v>204</v>
      </c>
      <c r="F23" s="1408">
        <f>SUBTOTAL(9,F16:F22)</f>
        <v>248</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385</v>
      </c>
      <c r="D31" s="1435">
        <f>SUBTOTAL(9,D9:D30)</f>
        <v>385</v>
      </c>
      <c r="E31" s="1436">
        <f>SUBTOTAL(9,E9:E30)</f>
        <v>205</v>
      </c>
      <c r="F31" s="1436">
        <f>SUBTOTAL(9,F9:F30)</f>
        <v>248</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HcWMOLd/BPrg5DyC5hJxMvL6DnNBcdfuq/ykBpOKInFmTiV2Ed3P36NqY74YHO9ToJgQHABBf7tyGOja3HYT3w==" saltValue="IS5X3J4FsUt+IZAJ7obfMg=="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OlEf+0ypEW15lrBXE+2iVgMNbS0DY1eXA4i4KBg5nkdO/gKa0RazUoAMnIXcpOkvLSxBuUIRho/GSF3Etn5TBw==" saltValue="CCr8WqiXXqSCUzxJwbavpQ=="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2</v>
      </c>
      <c r="J10" s="194">
        <v>1</v>
      </c>
      <c r="K10" s="194">
        <v>0</v>
      </c>
      <c r="L10" s="194">
        <v>3</v>
      </c>
      <c r="M10" s="194">
        <v>0</v>
      </c>
      <c r="N10" s="194">
        <v>0</v>
      </c>
      <c r="O10" s="194">
        <v>0</v>
      </c>
      <c r="P10" s="194">
        <v>0</v>
      </c>
      <c r="Q10" s="194">
        <v>0</v>
      </c>
      <c r="R10" s="194">
        <v>0</v>
      </c>
      <c r="S10" s="194">
        <v>5</v>
      </c>
      <c r="T10" s="194">
        <v>0</v>
      </c>
      <c r="U10" s="194">
        <v>3</v>
      </c>
      <c r="V10" s="194">
        <v>2</v>
      </c>
      <c r="W10" s="194">
        <v>2</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5</v>
      </c>
      <c r="AZ10" s="139">
        <f t="shared" si="0"/>
        <v>0</v>
      </c>
      <c r="BA10" s="139">
        <f t="shared" si="0"/>
        <v>3</v>
      </c>
      <c r="BB10" s="139">
        <f t="shared" si="0"/>
        <v>2</v>
      </c>
      <c r="BC10" s="135">
        <f t="shared" si="0"/>
        <v>2</v>
      </c>
      <c r="BD10" s="136" t="str">
        <f>IF(ISNUMBER(BA10/AZ10),BA10/AZ10," - ")</f>
        <v xml:space="preserve"> - </v>
      </c>
      <c r="BE10" s="137">
        <f>IF(ISNUMBER(BB10/BA10),BB10/BA10, " - ")</f>
        <v>0.66666666666666663</v>
      </c>
      <c r="BF10" s="137">
        <f>IF(ISNUMBER(BC10/BA10),BC10/BA10, " - ")</f>
        <v>0.66666666666666663</v>
      </c>
      <c r="BG10" s="209">
        <f>IF(ISNUMBER((AY10+AZ10)/BA10),(AY10+AZ10)/BA10," - ")</f>
        <v>1.6666666666666667</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469</v>
      </c>
      <c r="J12" s="196">
        <v>173</v>
      </c>
      <c r="K12" s="196">
        <v>152</v>
      </c>
      <c r="L12" s="196">
        <v>490</v>
      </c>
      <c r="M12" s="196">
        <v>39</v>
      </c>
      <c r="N12" s="196">
        <v>79</v>
      </c>
      <c r="O12" s="194">
        <v>15</v>
      </c>
      <c r="P12" s="196">
        <v>28</v>
      </c>
      <c r="Q12" s="196">
        <v>28</v>
      </c>
      <c r="R12" s="196">
        <v>443</v>
      </c>
      <c r="S12" s="196">
        <v>329</v>
      </c>
      <c r="T12" s="196">
        <v>194</v>
      </c>
      <c r="U12" s="196">
        <v>136</v>
      </c>
      <c r="V12" s="196">
        <v>387</v>
      </c>
      <c r="W12" s="196">
        <v>56</v>
      </c>
      <c r="X12" s="202">
        <v>51</v>
      </c>
      <c r="Y12" s="204">
        <v>1</v>
      </c>
      <c r="Z12" s="194">
        <v>21</v>
      </c>
      <c r="AA12" s="194">
        <v>16</v>
      </c>
      <c r="AB12" s="194">
        <v>6</v>
      </c>
      <c r="AC12" s="196">
        <v>0</v>
      </c>
      <c r="AD12" s="196">
        <v>0</v>
      </c>
      <c r="AE12" s="196">
        <v>0</v>
      </c>
      <c r="AF12" s="202">
        <v>0</v>
      </c>
      <c r="AG12" s="215">
        <v>4</v>
      </c>
      <c r="AH12" s="196">
        <v>20</v>
      </c>
      <c r="AI12" s="196">
        <v>21</v>
      </c>
      <c r="AJ12" s="216">
        <v>3</v>
      </c>
      <c r="AK12" s="195">
        <v>0</v>
      </c>
      <c r="AL12" s="196">
        <v>0</v>
      </c>
      <c r="AM12" s="196">
        <v>0</v>
      </c>
      <c r="AN12" s="202">
        <v>0</v>
      </c>
      <c r="AO12" s="283">
        <v>1</v>
      </c>
      <c r="AP12" s="168">
        <v>1</v>
      </c>
      <c r="AQ12" s="168">
        <v>1</v>
      </c>
      <c r="AR12" s="167">
        <v>1</v>
      </c>
      <c r="AS12" s="381" t="s">
        <v>1075</v>
      </c>
      <c r="AT12" s="216"/>
      <c r="AU12" s="215"/>
      <c r="AV12" s="216"/>
      <c r="AW12" s="215"/>
      <c r="AX12" s="216"/>
      <c r="AY12" s="136">
        <f t="shared" si="1"/>
        <v>333</v>
      </c>
      <c r="AZ12" s="137">
        <f t="shared" si="1"/>
        <v>214</v>
      </c>
      <c r="BA12" s="137">
        <f t="shared" si="1"/>
        <v>157</v>
      </c>
      <c r="BB12" s="137">
        <f t="shared" si="1"/>
        <v>390</v>
      </c>
      <c r="BC12" s="135">
        <f>IF(ISNUMBER(X12),X12," - ")</f>
        <v>51</v>
      </c>
      <c r="BD12" s="136">
        <f t="shared" si="2"/>
        <v>0.73364485981308414</v>
      </c>
      <c r="BE12" s="137">
        <f t="shared" si="3"/>
        <v>2.484076433121019</v>
      </c>
      <c r="BF12" s="137">
        <f t="shared" si="4"/>
        <v>0.32484076433121017</v>
      </c>
      <c r="BG12" s="209">
        <f t="shared" si="5"/>
        <v>3.484076433121019</v>
      </c>
      <c r="BH12" s="168">
        <v>1</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471</v>
      </c>
      <c r="J14" s="197">
        <f t="shared" si="7"/>
        <v>174</v>
      </c>
      <c r="K14" s="197">
        <f t="shared" si="7"/>
        <v>152</v>
      </c>
      <c r="L14" s="197">
        <f t="shared" si="7"/>
        <v>493</v>
      </c>
      <c r="M14" s="197">
        <f t="shared" si="7"/>
        <v>39</v>
      </c>
      <c r="N14" s="197">
        <f t="shared" si="7"/>
        <v>79</v>
      </c>
      <c r="O14" s="197">
        <f t="shared" si="7"/>
        <v>15</v>
      </c>
      <c r="P14" s="197">
        <f t="shared" si="7"/>
        <v>28</v>
      </c>
      <c r="Q14" s="197">
        <f t="shared" si="7"/>
        <v>28</v>
      </c>
      <c r="R14" s="197">
        <f t="shared" si="7"/>
        <v>443</v>
      </c>
      <c r="S14" s="197">
        <f t="shared" si="7"/>
        <v>334</v>
      </c>
      <c r="T14" s="197">
        <f t="shared" si="7"/>
        <v>194</v>
      </c>
      <c r="U14" s="197">
        <f t="shared" si="7"/>
        <v>139</v>
      </c>
      <c r="V14" s="197">
        <f t="shared" si="7"/>
        <v>389</v>
      </c>
      <c r="W14" s="197">
        <f t="shared" si="7"/>
        <v>58</v>
      </c>
      <c r="X14" s="197">
        <f t="shared" si="7"/>
        <v>51</v>
      </c>
      <c r="Y14" s="197">
        <f t="shared" si="7"/>
        <v>1</v>
      </c>
      <c r="Z14" s="197">
        <f t="shared" si="7"/>
        <v>21</v>
      </c>
      <c r="AA14" s="197">
        <f t="shared" si="7"/>
        <v>16</v>
      </c>
      <c r="AB14" s="197">
        <f t="shared" si="7"/>
        <v>6</v>
      </c>
      <c r="AC14" s="197">
        <f t="shared" si="7"/>
        <v>0</v>
      </c>
      <c r="AD14" s="197">
        <f t="shared" si="7"/>
        <v>0</v>
      </c>
      <c r="AE14" s="197">
        <f t="shared" si="7"/>
        <v>0</v>
      </c>
      <c r="AF14" s="197">
        <f>SUBTOTAL(9,AF9:AF13)</f>
        <v>0</v>
      </c>
      <c r="AG14" s="197">
        <f t="shared" ref="AG14:AT14" si="8">SUBTOTAL(9,AG8:AG13)</f>
        <v>4</v>
      </c>
      <c r="AH14" s="197">
        <f t="shared" si="8"/>
        <v>20</v>
      </c>
      <c r="AI14" s="197">
        <f t="shared" si="8"/>
        <v>21</v>
      </c>
      <c r="AJ14" s="197">
        <f t="shared" si="8"/>
        <v>3</v>
      </c>
      <c r="AK14" s="197">
        <f t="shared" si="8"/>
        <v>0</v>
      </c>
      <c r="AL14" s="197">
        <f t="shared" si="8"/>
        <v>0</v>
      </c>
      <c r="AM14" s="197">
        <f t="shared" si="8"/>
        <v>0</v>
      </c>
      <c r="AN14" s="197">
        <f t="shared" si="8"/>
        <v>0</v>
      </c>
      <c r="AO14" s="197">
        <f t="shared" si="8"/>
        <v>2</v>
      </c>
      <c r="AP14" s="197">
        <f t="shared" si="8"/>
        <v>1</v>
      </c>
      <c r="AQ14" s="197">
        <f t="shared" si="8"/>
        <v>1</v>
      </c>
      <c r="AR14" s="197">
        <f t="shared" si="8"/>
        <v>1</v>
      </c>
      <c r="AS14" s="197">
        <f t="shared" si="8"/>
        <v>0</v>
      </c>
      <c r="AT14" s="197">
        <f t="shared" si="8"/>
        <v>0</v>
      </c>
      <c r="AU14" s="217"/>
      <c r="AV14" s="142"/>
      <c r="AW14" s="217"/>
      <c r="AX14" s="142"/>
      <c r="AY14" s="197">
        <f>SUBTOTAL(9,AY8:AY13)</f>
        <v>338</v>
      </c>
      <c r="AZ14" s="197">
        <f>SUBTOTAL(9,AZ8:AZ13)</f>
        <v>214</v>
      </c>
      <c r="BA14" s="197">
        <f>SUBTOTAL(9,BA8:BA13)</f>
        <v>160</v>
      </c>
      <c r="BB14" s="197">
        <f>SUBTOTAL(9,BB8:BB13)</f>
        <v>392</v>
      </c>
      <c r="BC14" s="197">
        <f>SUBTOTAL(9,BC8:BC13)</f>
        <v>53</v>
      </c>
      <c r="BD14" s="219">
        <f>IF(ISNUMBER(BA14/AZ14),BA14/AZ14," - ")</f>
        <v>0.74766355140186913</v>
      </c>
      <c r="BE14" s="220">
        <f>IF(ISNUMBER(BB14/BA14),BB14/BA14, " - ")</f>
        <v>2.4500000000000002</v>
      </c>
      <c r="BF14" s="220">
        <f>IF(ISNUMBER(BC14/BA14),BC14/BA14, " - ")</f>
        <v>0.33124999999999999</v>
      </c>
      <c r="BG14" s="221">
        <f>IF(ISNUMBER((AY14+AZ14)/BA14),(AY14+AZ14)/BA14," - ")</f>
        <v>3.45</v>
      </c>
      <c r="BH14" s="153">
        <f>SUBTOTAL(9,BH8:BH13)</f>
        <v>2</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362</v>
      </c>
      <c r="J17" s="196">
        <v>198</v>
      </c>
      <c r="K17" s="196">
        <v>242</v>
      </c>
      <c r="L17" s="196">
        <v>318</v>
      </c>
      <c r="M17" s="196">
        <v>34</v>
      </c>
      <c r="N17" s="196">
        <v>165</v>
      </c>
      <c r="O17" s="194">
        <v>0</v>
      </c>
      <c r="P17" s="196">
        <v>9</v>
      </c>
      <c r="Q17" s="196">
        <v>3</v>
      </c>
      <c r="R17" s="196">
        <v>27</v>
      </c>
      <c r="S17" s="196">
        <v>342</v>
      </c>
      <c r="T17" s="196">
        <v>211</v>
      </c>
      <c r="U17" s="196">
        <v>188</v>
      </c>
      <c r="V17" s="196">
        <v>366</v>
      </c>
      <c r="W17" s="196">
        <v>39</v>
      </c>
      <c r="X17" s="202">
        <v>98</v>
      </c>
      <c r="Y17" s="215">
        <v>0</v>
      </c>
      <c r="Z17" s="196">
        <v>0</v>
      </c>
      <c r="AA17" s="196">
        <v>0</v>
      </c>
      <c r="AB17" s="196">
        <v>0</v>
      </c>
      <c r="AC17" s="196">
        <v>0</v>
      </c>
      <c r="AD17" s="196">
        <v>1</v>
      </c>
      <c r="AE17" s="196">
        <v>1</v>
      </c>
      <c r="AF17" s="202">
        <v>0</v>
      </c>
      <c r="AG17" s="215">
        <v>0</v>
      </c>
      <c r="AH17" s="196">
        <v>0</v>
      </c>
      <c r="AI17" s="196">
        <v>0</v>
      </c>
      <c r="AJ17" s="216">
        <v>0</v>
      </c>
      <c r="AK17" s="195">
        <v>0</v>
      </c>
      <c r="AL17" s="196">
        <v>1</v>
      </c>
      <c r="AM17" s="196">
        <v>1</v>
      </c>
      <c r="AN17" s="202">
        <v>0</v>
      </c>
      <c r="AO17" s="283">
        <v>1</v>
      </c>
      <c r="AP17" s="168">
        <v>1</v>
      </c>
      <c r="AQ17" s="168">
        <v>1</v>
      </c>
      <c r="AR17" s="168">
        <v>1</v>
      </c>
      <c r="AS17" s="381" t="s">
        <v>650</v>
      </c>
      <c r="AT17" s="216"/>
      <c r="AU17" s="215"/>
      <c r="AV17" s="216"/>
      <c r="AW17" s="215"/>
      <c r="AX17" s="216"/>
      <c r="AY17" s="136">
        <f t="shared" si="10"/>
        <v>342</v>
      </c>
      <c r="AZ17" s="137">
        <f t="shared" si="10"/>
        <v>211</v>
      </c>
      <c r="BA17" s="137">
        <f t="shared" si="10"/>
        <v>188</v>
      </c>
      <c r="BB17" s="137">
        <f t="shared" si="10"/>
        <v>366</v>
      </c>
      <c r="BC17" s="135">
        <f>IF(ISNUMBER(W17),W17," - ")</f>
        <v>39</v>
      </c>
      <c r="BD17" s="136">
        <f t="shared" ref="BD17:BD22" si="12">IF(ISNUMBER(BA17/AZ17),BA17/AZ17," - ")</f>
        <v>0.89099526066350709</v>
      </c>
      <c r="BE17" s="137">
        <f t="shared" ref="BE17:BE22" si="13">IF(ISNUMBER(BB17/BA17),BB17/BA17, " - ")</f>
        <v>1.946808510638298</v>
      </c>
      <c r="BF17" s="137">
        <f t="shared" ref="BF17:BF22" si="14">IF(ISNUMBER(BC17/BA17),BC17/BA17, " - ")</f>
        <v>0.20744680851063829</v>
      </c>
      <c r="BG17" s="209">
        <f t="shared" si="11"/>
        <v>2.9414893617021276</v>
      </c>
      <c r="BH17" s="168">
        <v>1</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21</v>
      </c>
      <c r="J18" s="196">
        <v>6</v>
      </c>
      <c r="K18" s="196">
        <v>6</v>
      </c>
      <c r="L18" s="196">
        <v>21</v>
      </c>
      <c r="M18" s="196">
        <v>0</v>
      </c>
      <c r="N18" s="196">
        <v>12</v>
      </c>
      <c r="O18" s="196">
        <v>0</v>
      </c>
      <c r="P18" s="196">
        <v>0</v>
      </c>
      <c r="Q18" s="196">
        <v>0</v>
      </c>
      <c r="R18" s="196">
        <v>0</v>
      </c>
      <c r="S18" s="196">
        <v>29</v>
      </c>
      <c r="T18" s="196">
        <v>12</v>
      </c>
      <c r="U18" s="196">
        <v>20</v>
      </c>
      <c r="V18" s="196">
        <v>21</v>
      </c>
      <c r="W18" s="196">
        <v>5</v>
      </c>
      <c r="X18" s="202">
        <v>7</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29</v>
      </c>
      <c r="AZ18" s="139">
        <f t="shared" si="15"/>
        <v>12</v>
      </c>
      <c r="BA18" s="139">
        <f t="shared" si="15"/>
        <v>20</v>
      </c>
      <c r="BB18" s="139">
        <f t="shared" si="15"/>
        <v>21</v>
      </c>
      <c r="BC18" s="135">
        <f>IF(ISNUMBER(W18),W18," - ")</f>
        <v>5</v>
      </c>
      <c r="BD18" s="136">
        <f>IF(ISNUMBER(BA18/AZ18),BA18/AZ18," - ")</f>
        <v>1.6666666666666667</v>
      </c>
      <c r="BE18" s="137">
        <f>IF(ISNUMBER(BB18/BA18),BB18/BA18, " - ")</f>
        <v>1.05</v>
      </c>
      <c r="BF18" s="137">
        <f>IF(ISNUMBER(BC18/BA18),BC18/BA18, " - ")</f>
        <v>0.25</v>
      </c>
      <c r="BG18" s="209">
        <f>IF(ISNUMBER((AY18+AZ18)/BA18),(AY18+AZ18)/BA18," - ")</f>
        <v>2.0499999999999998</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383</v>
      </c>
      <c r="J23" s="197">
        <f t="shared" si="21"/>
        <v>204</v>
      </c>
      <c r="K23" s="197">
        <f t="shared" si="21"/>
        <v>248</v>
      </c>
      <c r="L23" s="197">
        <f t="shared" si="21"/>
        <v>339</v>
      </c>
      <c r="M23" s="197">
        <f t="shared" si="21"/>
        <v>34</v>
      </c>
      <c r="N23" s="197">
        <f t="shared" si="21"/>
        <v>177</v>
      </c>
      <c r="O23" s="197">
        <f t="shared" si="21"/>
        <v>0</v>
      </c>
      <c r="P23" s="197">
        <f t="shared" si="21"/>
        <v>9</v>
      </c>
      <c r="Q23" s="197">
        <f t="shared" si="21"/>
        <v>3</v>
      </c>
      <c r="R23" s="197">
        <f t="shared" si="21"/>
        <v>27</v>
      </c>
      <c r="S23" s="197">
        <f t="shared" si="21"/>
        <v>371</v>
      </c>
      <c r="T23" s="197">
        <f t="shared" si="21"/>
        <v>223</v>
      </c>
      <c r="U23" s="197">
        <f t="shared" si="21"/>
        <v>208</v>
      </c>
      <c r="V23" s="197">
        <f t="shared" si="21"/>
        <v>387</v>
      </c>
      <c r="W23" s="197">
        <f t="shared" si="21"/>
        <v>44</v>
      </c>
      <c r="X23" s="197">
        <f t="shared" si="21"/>
        <v>105</v>
      </c>
      <c r="Y23" s="197">
        <f t="shared" si="21"/>
        <v>0</v>
      </c>
      <c r="Z23" s="197">
        <f t="shared" si="21"/>
        <v>0</v>
      </c>
      <c r="AA23" s="197">
        <f t="shared" si="21"/>
        <v>0</v>
      </c>
      <c r="AB23" s="197">
        <f t="shared" si="21"/>
        <v>0</v>
      </c>
      <c r="AC23" s="197">
        <f t="shared" si="21"/>
        <v>0</v>
      </c>
      <c r="AD23" s="197">
        <f t="shared" si="21"/>
        <v>1</v>
      </c>
      <c r="AE23" s="197">
        <f t="shared" si="21"/>
        <v>1</v>
      </c>
      <c r="AF23" s="197">
        <f t="shared" si="21"/>
        <v>0</v>
      </c>
      <c r="AG23" s="197">
        <f t="shared" si="21"/>
        <v>0</v>
      </c>
      <c r="AH23" s="197">
        <f t="shared" si="21"/>
        <v>0</v>
      </c>
      <c r="AI23" s="197">
        <f t="shared" si="21"/>
        <v>0</v>
      </c>
      <c r="AJ23" s="197">
        <f t="shared" si="21"/>
        <v>0</v>
      </c>
      <c r="AK23" s="197">
        <f t="shared" si="21"/>
        <v>0</v>
      </c>
      <c r="AL23" s="197">
        <f t="shared" si="21"/>
        <v>1</v>
      </c>
      <c r="AM23" s="197">
        <f t="shared" si="21"/>
        <v>1</v>
      </c>
      <c r="AN23" s="197">
        <f t="shared" si="21"/>
        <v>0</v>
      </c>
      <c r="AO23" s="197">
        <f t="shared" si="21"/>
        <v>2</v>
      </c>
      <c r="AP23" s="197">
        <f t="shared" si="21"/>
        <v>1</v>
      </c>
      <c r="AQ23" s="197">
        <f t="shared" si="21"/>
        <v>1</v>
      </c>
      <c r="AR23" s="197">
        <f t="shared" si="21"/>
        <v>1</v>
      </c>
      <c r="AS23" s="197">
        <f t="shared" si="21"/>
        <v>0</v>
      </c>
      <c r="AT23" s="197">
        <f t="shared" si="21"/>
        <v>0</v>
      </c>
      <c r="AU23" s="217"/>
      <c r="AV23" s="142"/>
      <c r="AW23" s="217"/>
      <c r="AX23" s="142"/>
      <c r="AY23" s="197">
        <f>SUBTOTAL(9,AY15:AY22)</f>
        <v>371</v>
      </c>
      <c r="AZ23" s="197">
        <f>SUBTOTAL(9,AZ15:AZ22)</f>
        <v>223</v>
      </c>
      <c r="BA23" s="197">
        <f>SUBTOTAL(9,BA15:BA22)</f>
        <v>208</v>
      </c>
      <c r="BB23" s="197">
        <f>SUBTOTAL(9,BB15:BB22)</f>
        <v>387</v>
      </c>
      <c r="BC23" s="197">
        <f>SUBTOTAL(9,BC15:BC22)</f>
        <v>44</v>
      </c>
      <c r="BD23" s="219">
        <f>IF(ISNUMBER(BA23/AZ23),BA23/AZ23," - ")</f>
        <v>0.93273542600896864</v>
      </c>
      <c r="BE23" s="220">
        <f>IF(ISNUMBER(BB23/BA23),BB23/BA23, " - ")</f>
        <v>1.8605769230769231</v>
      </c>
      <c r="BF23" s="220">
        <f>IF(ISNUMBER(BC23/BA23),BC23/BA23, " - ")</f>
        <v>0.21153846153846154</v>
      </c>
      <c r="BG23" s="221">
        <f>IF(ISNUMBER((AY23+AZ23)/BA23),(AY23+AZ23)/BA23," - ")</f>
        <v>2.8557692307692308</v>
      </c>
      <c r="BH23" s="197">
        <f>SUBTOTAL(9,BH15:BH22)</f>
        <v>2</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854</v>
      </c>
      <c r="J31" s="144">
        <f t="shared" si="36"/>
        <v>378</v>
      </c>
      <c r="K31" s="144">
        <f t="shared" si="36"/>
        <v>400</v>
      </c>
      <c r="L31" s="144">
        <f t="shared" si="36"/>
        <v>832</v>
      </c>
      <c r="M31" s="144">
        <f t="shared" si="36"/>
        <v>73</v>
      </c>
      <c r="N31" s="144">
        <f t="shared" si="36"/>
        <v>256</v>
      </c>
      <c r="O31" s="144">
        <f t="shared" si="36"/>
        <v>15</v>
      </c>
      <c r="P31" s="144">
        <f t="shared" si="36"/>
        <v>37</v>
      </c>
      <c r="Q31" s="144">
        <f t="shared" si="36"/>
        <v>31</v>
      </c>
      <c r="R31" s="144">
        <f t="shared" si="36"/>
        <v>470</v>
      </c>
      <c r="S31" s="144">
        <f t="shared" si="36"/>
        <v>705</v>
      </c>
      <c r="T31" s="144">
        <f t="shared" si="36"/>
        <v>417</v>
      </c>
      <c r="U31" s="144">
        <f t="shared" si="36"/>
        <v>347</v>
      </c>
      <c r="V31" s="144">
        <f t="shared" si="36"/>
        <v>776</v>
      </c>
      <c r="W31" s="144">
        <f t="shared" si="36"/>
        <v>102</v>
      </c>
      <c r="X31" s="144">
        <f t="shared" si="36"/>
        <v>156</v>
      </c>
      <c r="Y31" s="144">
        <f t="shared" si="36"/>
        <v>1</v>
      </c>
      <c r="Z31" s="144">
        <f t="shared" si="36"/>
        <v>21</v>
      </c>
      <c r="AA31" s="144">
        <f t="shared" si="36"/>
        <v>16</v>
      </c>
      <c r="AB31" s="144">
        <f t="shared" si="36"/>
        <v>6</v>
      </c>
      <c r="AC31" s="144">
        <f t="shared" si="36"/>
        <v>0</v>
      </c>
      <c r="AD31" s="144">
        <f t="shared" si="36"/>
        <v>1</v>
      </c>
      <c r="AE31" s="144">
        <f t="shared" si="36"/>
        <v>1</v>
      </c>
      <c r="AF31" s="144">
        <f t="shared" si="36"/>
        <v>0</v>
      </c>
      <c r="AG31" s="144">
        <f t="shared" si="36"/>
        <v>4</v>
      </c>
      <c r="AH31" s="144">
        <f t="shared" si="36"/>
        <v>20</v>
      </c>
      <c r="AI31" s="144">
        <f t="shared" si="36"/>
        <v>21</v>
      </c>
      <c r="AJ31" s="144">
        <f t="shared" si="36"/>
        <v>3</v>
      </c>
      <c r="AK31" s="144">
        <f t="shared" si="36"/>
        <v>0</v>
      </c>
      <c r="AL31" s="144">
        <f t="shared" si="36"/>
        <v>1</v>
      </c>
      <c r="AM31" s="144">
        <f t="shared" si="36"/>
        <v>1</v>
      </c>
      <c r="AN31" s="224">
        <f t="shared" si="36"/>
        <v>0</v>
      </c>
      <c r="AO31" s="225">
        <v>2</v>
      </c>
      <c r="AP31" s="225">
        <v>1</v>
      </c>
      <c r="AQ31" s="225">
        <v>1</v>
      </c>
      <c r="AR31" s="225">
        <v>1</v>
      </c>
      <c r="AS31" s="166">
        <f t="shared" si="36"/>
        <v>0</v>
      </c>
      <c r="AT31" s="166">
        <f t="shared" si="36"/>
        <v>0</v>
      </c>
      <c r="AU31" s="225"/>
      <c r="AV31" s="226"/>
      <c r="AW31" s="225"/>
      <c r="AX31" s="226"/>
      <c r="AY31" s="143">
        <f>SUBTOTAL(9,AY9:AY30)</f>
        <v>709</v>
      </c>
      <c r="AZ31" s="144">
        <f>SUBTOTAL(9,AZ9:AZ30)</f>
        <v>437</v>
      </c>
      <c r="BA31" s="144">
        <f>SUBTOTAL(9,BA9:BA30)</f>
        <v>368</v>
      </c>
      <c r="BB31" s="144">
        <f>SUBTOTAL(9,BB9:BB30)</f>
        <v>779</v>
      </c>
      <c r="BC31" s="145">
        <f>SUBTOTAL(9,BC9:BC30)</f>
        <v>97</v>
      </c>
      <c r="BD31" s="227">
        <f>IF(ISNUMBER(BA31/AZ31),BA31/AZ31," - ")</f>
        <v>0.84210526315789469</v>
      </c>
      <c r="BE31" s="224">
        <f>IF(ISNUMBER(BB31/BA31),BB31/BA31, " - ")</f>
        <v>2.1168478260869565</v>
      </c>
      <c r="BF31" s="224">
        <f>IF(ISNUMBER(BC31/BA31),BC31/BA31, " - ")</f>
        <v>0.26358695652173914</v>
      </c>
      <c r="BG31" s="145">
        <f>IF(ISNUMBER((AY31+AZ31)/BA31),(AY31+AZ31)/BA31," - ")</f>
        <v>3.1141304347826089</v>
      </c>
      <c r="BH31" s="225">
        <f>SUBTOTAL(9,BH9:BH30)</f>
        <v>4</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IUGseAce8IWMUTsh4D0vvebf0nQNoD+Dg7G2zxYI67kGqrS5S89+6fn166sc0htWiLfGBdL4UhNOygwkKlDLsQ==" saltValue="I084ebTpKvqIQ7ubxc2zLQ=="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h19DxFRIBbMoKcXAOp2V6SGZbrTJQ+8k9rgev+oHgW4YOKWEvEoU8aaKigZV3ZK2FAC9ku/ktJEGcDu3xMOGIg==" saltValue="jvnW+v8JPyIjP/Gms07g+g=="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ASTURIAS</v>
      </c>
      <c r="F1" s="578"/>
    </row>
    <row r="2" spans="1:74" ht="16.5" customHeight="1">
      <c r="C2" s="567" t="str">
        <f>Criterios!A10 &amp;"  "&amp;Criterios!B10 &amp; "  " &amp; IF(NOT(ISBLANK(Criterios!A11)),Criterios!A11 &amp;"  "&amp;Criterios!B11,"")</f>
        <v>Provincias  ASTURIAS  Resumenes por Partidos Judiciales  VALDES</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2</v>
      </c>
      <c r="G10" s="543">
        <f>IF(ISNUMBER(Datos!I10),Datos!I10," - ")</f>
        <v>2</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0</v>
      </c>
      <c r="AC10" s="547">
        <f>IF(ISNUMBER(Datos!Q10),Datos!Q10," - ")</f>
        <v>0</v>
      </c>
      <c r="AD10" s="549"/>
      <c r="AE10" s="563"/>
      <c r="AF10" s="551">
        <f>IF(ISNUMBER(Datos!L10),Datos!L10,"-")</f>
        <v>3</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f>IF(ISNUMBER(Datos!K10/Datos!J10),Datos!K10/Datos!J10," - ")</f>
        <v>0</v>
      </c>
      <c r="BH10" s="764" t="str">
        <f>IF(ISNUMBER(((Datos!L10/Datos!K10)*11)/factor_trimestre),((Datos!L10/Datos!K10)*11)/factor_trimestre," - ")</f>
        <v xml:space="preserve"> - </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1</v>
      </c>
      <c r="B12" s="746" t="s">
        <v>321</v>
      </c>
      <c r="C12" s="747" t="str">
        <f>Datos!A12</f>
        <v xml:space="preserve">Jdos. 1ª Instª. e Instr.                        </v>
      </c>
      <c r="D12" s="601"/>
      <c r="E12" s="764">
        <f>IF(ISNUMBER(Datos!AQ12),Datos!AQ12," - ")</f>
        <v>1</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21</v>
      </c>
      <c r="O12" s="549"/>
      <c r="P12" s="549"/>
      <c r="Q12" s="547">
        <f>IF(ISNUMBER(Datos!P12),Datos!P12,0)</f>
        <v>28</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28</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6</v>
      </c>
      <c r="AI12" s="549" t="str">
        <f>IF(ISNUMBER(Datos!CD12),Datos!CD12,"-")</f>
        <v>-</v>
      </c>
      <c r="AJ12" s="549" t="str">
        <f>IF(ISNUMBER(Datos!EN12),Datos!EN12," - ")</f>
        <v xml:space="preserve"> - </v>
      </c>
      <c r="AK12" s="549"/>
      <c r="AL12" s="550"/>
      <c r="AM12" s="766">
        <f>IF(ISNUMBER(Datos!R12),Datos!R12," - ")</f>
        <v>443</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39</v>
      </c>
      <c r="BD12" s="693">
        <f>IF(ISNUMBER(Datos!N12),Datos!N12," - ")</f>
        <v>79</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0.865979381443299</v>
      </c>
      <c r="BH12" s="764">
        <f>IF(ISNUMBER(((IF(J_V="SI",Datos!L12/Datos!K12,(Datos!L12+Datos!AB12)/(Datos!K12+Datos!AA12)))*11)/factor_trimestre),((IF(J_V="SI",Datos!L12/Datos!K12,(Datos!L12+Datos!AB12)/(Datos!K12+Datos!AA12)))*11)/factor_trimestre," - ")</f>
        <v>8.8571428571428594</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0</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1</v>
      </c>
      <c r="F14" s="1197">
        <f t="shared" si="1"/>
        <v>2</v>
      </c>
      <c r="G14" s="1197">
        <f t="shared" si="1"/>
        <v>2</v>
      </c>
      <c r="H14" s="1198">
        <f t="shared" si="1"/>
        <v>0</v>
      </c>
      <c r="I14" s="1197">
        <f t="shared" si="1"/>
        <v>0</v>
      </c>
      <c r="J14" s="1164">
        <f t="shared" si="1"/>
        <v>0</v>
      </c>
      <c r="K14" s="1164">
        <f t="shared" si="1"/>
        <v>0</v>
      </c>
      <c r="L14" s="1198">
        <f t="shared" si="1"/>
        <v>0</v>
      </c>
      <c r="M14" s="1198">
        <f t="shared" si="1"/>
        <v>0</v>
      </c>
      <c r="N14" s="1198">
        <f t="shared" si="1"/>
        <v>21</v>
      </c>
      <c r="O14" s="1199">
        <f t="shared" si="1"/>
        <v>0</v>
      </c>
      <c r="P14" s="1199">
        <f t="shared" si="1"/>
        <v>0</v>
      </c>
      <c r="Q14" s="1198">
        <f t="shared" si="1"/>
        <v>28</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0</v>
      </c>
      <c r="AC14" s="1198">
        <f t="shared" si="2"/>
        <v>28</v>
      </c>
      <c r="AD14" s="1198">
        <f t="shared" si="2"/>
        <v>0</v>
      </c>
      <c r="AE14" s="1198">
        <f t="shared" si="2"/>
        <v>0</v>
      </c>
      <c r="AF14" s="1198">
        <f t="shared" si="2"/>
        <v>3</v>
      </c>
      <c r="AG14" s="1198">
        <f t="shared" si="2"/>
        <v>0</v>
      </c>
      <c r="AH14" s="1198">
        <f t="shared" si="2"/>
        <v>6</v>
      </c>
      <c r="AI14" s="1198">
        <f t="shared" si="2"/>
        <v>0</v>
      </c>
      <c r="AJ14" s="1198">
        <f t="shared" si="2"/>
        <v>0</v>
      </c>
      <c r="AK14" s="1198">
        <f t="shared" si="2"/>
        <v>0</v>
      </c>
      <c r="AL14" s="1198">
        <f t="shared" si="2"/>
        <v>0</v>
      </c>
      <c r="AM14" s="1198">
        <f t="shared" si="2"/>
        <v>443</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39</v>
      </c>
      <c r="BD14" s="1198">
        <f t="shared" si="2"/>
        <v>79</v>
      </c>
      <c r="BE14" s="1198">
        <f t="shared" si="2"/>
        <v>0</v>
      </c>
      <c r="BF14" s="1198">
        <f t="shared" si="2"/>
        <v>0</v>
      </c>
      <c r="BG14" s="1198">
        <f>IF(ISNUMBER(Datos!K14/Datos!J14),Datos!K14/Datos!J14," - ")</f>
        <v>0.87356321839080464</v>
      </c>
      <c r="BH14" s="1202">
        <f>IF(ISNUMBER(((Datos!L14/Datos!K14)*11)/factor_trimestre),((Datos!L14/Datos!K14)*11)/factor_trimestre," - ")</f>
        <v>9.7302631578947381</v>
      </c>
      <c r="BI14" s="1198">
        <f>IF(ISNUMBER('Resol  Asuntos'!D14/NºAsuntos!G14),'Resol  Asuntos'!D14/NºAsuntos!G14," - ")</f>
        <v>0.23214285714285715</v>
      </c>
      <c r="BJ14" s="1198" t="str">
        <f>IF(ISNUMBER(Datos!CI14/Datos!CJ14),Datos!CI14/Datos!CJ14," - ")</f>
        <v xml:space="preserve"> - </v>
      </c>
      <c r="BK14" s="1198">
        <f>SUBTOTAL(9,BK8:BK13)</f>
        <v>0</v>
      </c>
      <c r="BL14" s="1198">
        <f>IF(ISNUMBER((I14-AB14+L14)/(F14)),(I14-AB14+L14)/(F14)," - ")</f>
        <v>0</v>
      </c>
      <c r="BM14" s="1203">
        <f>SUBTOTAL(9,BM9:BM13)</f>
        <v>0</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1</v>
      </c>
      <c r="B17" s="737" t="s">
        <v>511</v>
      </c>
      <c r="C17" s="749" t="str">
        <f>Datos!A17</f>
        <v xml:space="preserve">Jdos. 1ª Instª. e Instr.                        </v>
      </c>
      <c r="D17" s="750"/>
      <c r="E17" s="1555">
        <f>IF(ISNUMBER(Datos!AQ17),Datos!AQ17," - ")</f>
        <v>1</v>
      </c>
      <c r="F17" s="740">
        <f>IF(ISNUMBER(AF17+AB17-Datos!J17-L17),AF17+AB17-Datos!J17-L17," - ")</f>
        <v>362</v>
      </c>
      <c r="G17" s="743">
        <f>IF(ISNUMBER(IF(D_I="SI",Datos!I17,Datos!I17+Datos!AC17)),IF(D_I="SI",Datos!I17,Datos!I17+Datos!AC17)," - ")</f>
        <v>362</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9</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242</v>
      </c>
      <c r="AC17" s="240">
        <f>IF(ISNUMBER(Datos!Q17),Datos!Q17," - ")</f>
        <v>3</v>
      </c>
      <c r="AD17" s="374"/>
      <c r="AE17" s="562"/>
      <c r="AF17" s="741">
        <f>IF(ISNUMBER(IF(D_I="SI",Datos!L17,Datos!L17+Datos!AF17)),IF(D_I="SI",Datos!L17,Datos!L17+Datos!AF17)," - ")</f>
        <v>318</v>
      </c>
      <c r="AG17" s="374"/>
      <c r="AH17" s="374"/>
      <c r="AI17" s="374"/>
      <c r="AJ17" s="549"/>
      <c r="AK17" s="374"/>
      <c r="AL17" s="545"/>
      <c r="AM17" s="375">
        <f>IF(ISNUMBER(Datos!R17),Datos!R17," - ")</f>
        <v>27</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34</v>
      </c>
      <c r="BD17" s="243">
        <f>IF(ISNUMBER(Datos!N17),Datos!N17," - ")</f>
        <v>165</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1.2222222222222223</v>
      </c>
      <c r="BH17" s="764">
        <f>IF(ISNUMBER(((IF(D_I="SI",Datos!L17/Datos!K17,(Datos!L17+Datos!AF17)/(Datos!K17+Datos!AE17)))*11)/factor_trimestre),((IF(D_I="SI",Datos!L17/Datos!K17,(Datos!L17+Datos!AF17)/(Datos!K17+Datos!AE17)))*11)/factor_trimestre," - ")</f>
        <v>3.9421487603305789</v>
      </c>
      <c r="BI17" s="266">
        <f>IF(ISNUMBER('Resol  Asuntos'!D17/NºAsuntos!G17),'Resol  Asuntos'!D17/NºAsuntos!G17," - ")</f>
        <v>0.14049586776859505</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21</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6</v>
      </c>
      <c r="AC18" s="547">
        <f>IF(ISNUMBER(Datos!Q18),Datos!Q18," - ")</f>
        <v>0</v>
      </c>
      <c r="AD18" s="549"/>
      <c r="AE18" s="562"/>
      <c r="AF18" s="551">
        <f>IF(ISNUMBER(Datos!L18),Datos!L18,"-")</f>
        <v>21</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0</v>
      </c>
      <c r="BD18" s="693">
        <f>IF(ISNUMBER(Datos!N18),Datos!N18," - ")</f>
        <v>12</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v>
      </c>
      <c r="BH18" s="764">
        <f>IF(ISNUMBER(((IF(D_I="SI",Datos!L18/Datos!K18,(Datos!L18+Datos!AF18)/(Datos!K18+Datos!AE18)))*11)/factor_trimestre),((IF(D_I="SI",Datos!L18/Datos!K18,(Datos!L18+Datos!AF18)/(Datos!K18+Datos!AE18)))*11)/factor_trimestre," - ")</f>
        <v>10.5</v>
      </c>
      <c r="BI18" s="763">
        <f>IF(ISNUMBER('Resol  Asuntos'!D18/NºAsuntos!G18),'Resol  Asuntos'!D18/NºAsuntos!G18," - ")</f>
        <v>0</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1</v>
      </c>
      <c r="F23" s="1197">
        <f>SUBTOTAL(9,F16:F22)</f>
        <v>362</v>
      </c>
      <c r="G23" s="1197">
        <f>SUBTOTAL(9,G16:G22)</f>
        <v>383</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9</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248</v>
      </c>
      <c r="AC23" s="1198">
        <f t="shared" si="5"/>
        <v>3</v>
      </c>
      <c r="AD23" s="1198">
        <f t="shared" si="5"/>
        <v>0</v>
      </c>
      <c r="AE23" s="1198">
        <f t="shared" si="5"/>
        <v>0</v>
      </c>
      <c r="AF23" s="1198">
        <f t="shared" si="5"/>
        <v>339</v>
      </c>
      <c r="AG23" s="1198">
        <f t="shared" si="5"/>
        <v>0</v>
      </c>
      <c r="AH23" s="1198">
        <f t="shared" si="5"/>
        <v>0</v>
      </c>
      <c r="AI23" s="1198">
        <f t="shared" si="5"/>
        <v>0</v>
      </c>
      <c r="AJ23" s="1198">
        <f t="shared" si="5"/>
        <v>0</v>
      </c>
      <c r="AK23" s="1198">
        <f t="shared" si="5"/>
        <v>0</v>
      </c>
      <c r="AL23" s="1198">
        <f t="shared" si="5"/>
        <v>0</v>
      </c>
      <c r="AM23" s="1198">
        <f t="shared" si="5"/>
        <v>27</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34</v>
      </c>
      <c r="BD23" s="1198">
        <f t="shared" si="5"/>
        <v>177</v>
      </c>
      <c r="BE23" s="1198">
        <f t="shared" si="5"/>
        <v>0</v>
      </c>
      <c r="BF23" s="1198">
        <f t="shared" si="5"/>
        <v>0</v>
      </c>
      <c r="BG23" s="1198">
        <f>IF(ISNUMBER(Datos!K23/Datos!J23),Datos!K23/Datos!J23," - ")</f>
        <v>1.2156862745098038</v>
      </c>
      <c r="BH23" s="1202">
        <f>IF(ISNUMBER(((Datos!L23/Datos!K23)*11)/factor_trimestre),((Datos!L23/Datos!K23)*11)/factor_trimestre," - ")</f>
        <v>4.1008064516129039</v>
      </c>
      <c r="BI23" s="1198">
        <f>SUBTOTAL(9,BI16:BI22)</f>
        <v>0.14049586776859505</v>
      </c>
      <c r="BJ23" s="1198">
        <f>SUBTOTAL(9,BJ16:BJ22)</f>
        <v>0</v>
      </c>
      <c r="BK23" s="1198">
        <f>SUBTOTAL(9,BK16:BK22)</f>
        <v>0</v>
      </c>
      <c r="BL23" s="1198">
        <f>IF(ISNUMBER((I23-AB23+L23)/(F23)),(I23-AB23+L23)/(F23)," - ")</f>
        <v>-0.68508287292817682</v>
      </c>
      <c r="BM23" s="1205">
        <f>IF(ISNUMBER((Datos!P23-Datos!Q23)/(Datos!R23-Datos!P23+Datos!Q23)),(Datos!P23-Datos!Q23)/(Datos!R23-Datos!P23+Datos!Q23)," - ")</f>
        <v>0.2857142857142857</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2</v>
      </c>
      <c r="F31" s="1117">
        <f t="shared" si="18"/>
        <v>364</v>
      </c>
      <c r="G31" s="1117">
        <f t="shared" si="18"/>
        <v>385</v>
      </c>
      <c r="H31" s="1119">
        <f t="shared" si="18"/>
        <v>0</v>
      </c>
      <c r="I31" s="1117">
        <f t="shared" si="18"/>
        <v>0</v>
      </c>
      <c r="J31" s="1119">
        <f t="shared" si="18"/>
        <v>0</v>
      </c>
      <c r="K31" s="1119">
        <f t="shared" si="18"/>
        <v>0</v>
      </c>
      <c r="L31" s="1180">
        <f t="shared" si="18"/>
        <v>0</v>
      </c>
      <c r="M31" s="1180">
        <f t="shared" si="18"/>
        <v>0</v>
      </c>
      <c r="N31" s="1180">
        <f t="shared" si="18"/>
        <v>21</v>
      </c>
      <c r="O31" s="1180">
        <f t="shared" si="18"/>
        <v>0</v>
      </c>
      <c r="P31" s="1180">
        <f t="shared" si="18"/>
        <v>0</v>
      </c>
      <c r="Q31" s="1119">
        <f t="shared" si="18"/>
        <v>37</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248</v>
      </c>
      <c r="AC31" s="1118">
        <f t="shared" si="19"/>
        <v>31</v>
      </c>
      <c r="AD31" s="1118">
        <f t="shared" si="19"/>
        <v>0</v>
      </c>
      <c r="AE31" s="1118">
        <f t="shared" si="19"/>
        <v>0</v>
      </c>
      <c r="AF31" s="1125">
        <f t="shared" si="19"/>
        <v>342</v>
      </c>
      <c r="AG31" s="1125">
        <f t="shared" si="19"/>
        <v>0</v>
      </c>
      <c r="AH31" s="1125">
        <f t="shared" si="19"/>
        <v>6</v>
      </c>
      <c r="AI31" s="1125">
        <f t="shared" si="19"/>
        <v>0</v>
      </c>
      <c r="AJ31" s="1118">
        <f t="shared" si="19"/>
        <v>0</v>
      </c>
      <c r="AK31" s="1125">
        <f t="shared" si="19"/>
        <v>0</v>
      </c>
      <c r="AL31" s="1125">
        <f t="shared" si="19"/>
        <v>0</v>
      </c>
      <c r="AM31" s="1125">
        <f t="shared" si="19"/>
        <v>470</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73</v>
      </c>
      <c r="BD31" s="1117">
        <f t="shared" si="19"/>
        <v>256</v>
      </c>
      <c r="BE31" s="1117">
        <f t="shared" si="19"/>
        <v>0</v>
      </c>
      <c r="BF31" s="1127">
        <f t="shared" si="19"/>
        <v>0</v>
      </c>
      <c r="BG31" s="1223">
        <f>IF(ISNUMBER(Datos!K31/Datos!J31),Datos!K31/Datos!J31," - ")</f>
        <v>1.0582010582010581</v>
      </c>
      <c r="BH31" s="1223">
        <f>IF(ISNUMBER(((Datos!L31/Datos!K31)*11)/factor_trimestre),((Datos!L31/Datos!K31)*11)/factor_trimestre," - ")</f>
        <v>6.2400000000000011</v>
      </c>
      <c r="BI31" s="1103">
        <f>IF(ISNUMBER(Datos!J31/Datos!I31),Datos!J31/Datos!I31," - ")</f>
        <v>0.44262295081967212</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-0.68131868131868134</v>
      </c>
      <c r="BM31" s="1188">
        <f>IF(ISNUMBER((Datos!P31-Datos!Q31+R31)/(Datos!R31-Datos!P31+Datos!Q31-R31)),(Datos!P31-Datos!Q31+R31)/(Datos!R31-Datos!P31+Datos!Q31-R31)," - ")</f>
        <v>1.2931034482758621E-2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110</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0.4188539082916955</v>
      </c>
      <c r="F33" s="673">
        <f>IF(ISNUMBER(STDEV(F8:F30)),STDEV(F8:F30),"-")</f>
        <v>186.42174408224665</v>
      </c>
      <c r="G33" s="674">
        <f>IF(ISNUMBER(STDEV(G8:G30)),STDEV(G8:G30),"-")</f>
        <v>179.57449707572621</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118.99499789406916</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19.60138479073062</v>
      </c>
      <c r="BD33" s="673"/>
      <c r="BE33" s="673">
        <f>IF(ISNUMBER(STDEV(BE8:BE30)),STDEV(BE8:BE30),"-")</f>
        <v>0</v>
      </c>
      <c r="BF33" s="678">
        <f>IF(ISNUMBER(STDEV(BF8:BF30)),STDEV(BF8:BF30),"-")</f>
        <v>0</v>
      </c>
      <c r="BG33" s="1052">
        <f>IF(ISNUMBER(STDEV(BG8:BG30)),STDEV(BG8:BG30),"-")</f>
        <v>0.45101809747428151</v>
      </c>
      <c r="BH33" s="1058">
        <f>IF(ISNUMBER(STDEV(BH8:BH30)),STDEV(BH8:BH30),"-")</f>
        <v>3.1623332425072785</v>
      </c>
      <c r="BI33" s="273">
        <f>IF(ISNUMBER(STDEV(BI8:BI30)),STDEV(BI8:BI30),"-")</f>
        <v>9.581528460414615E-2</v>
      </c>
      <c r="BJ33" s="244" t="str">
        <f>IF(ISNUMBER(BL33/BM33),BL33/BM33," - ")</f>
        <v xml:space="preserve"> - </v>
      </c>
      <c r="BK33" s="709"/>
      <c r="BL33" s="681">
        <f>IF(ISNUMBER(STDEV(BL8:BL30)),STDEV(BL8:BL30),"-")</f>
        <v>0.48442674512227568</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aZu3oZIBJfzLGH89syRLUk6G6st7qXkbdVyIZt3JEOctbGR8LeziFjXp6nMHrYuRsKSsMKRACrMVg1FcYGKuFg==" saltValue="i+chvIC0EnSCJqbUhIbpU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ASTURIAS</v>
      </c>
    </row>
    <row r="2" spans="1:73" ht="16.5" customHeight="1">
      <c r="C2" s="647" t="str">
        <f>Criterios!A10 &amp;"  "&amp;Criterios!B10 &amp; "  " &amp; IF(NOT(ISBLANK(Criterios!A11)),Criterios!A11 &amp;"  "&amp;Criterios!B11,"")</f>
        <v>Provincias  ASTURIAS  Resumenes por Partidos Judiciales  VALDES</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4 al 4</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2</v>
      </c>
      <c r="G10" s="552">
        <f>IF(ISNUMBER(Datos!I10),Datos!I10," - ")</f>
        <v>2</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0</v>
      </c>
      <c r="Z10" s="805">
        <f>IF(ISNUMBER(Datos!Q10),Datos!Q10," - ")</f>
        <v>0</v>
      </c>
      <c r="AA10" s="551">
        <f>IF(ISNUMBER(Datos!L10),Datos!L10,"-")</f>
        <v>3</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t="str">
        <f>IF(ISNUMBER(((NºAsuntos!I10/NºAsuntos!G10)*11)/factor_trimestre),((NºAsuntos!I10/NºAsuntos!G10)*11)/factor_trimestre," - ")</f>
        <v xml:space="preserve"> - </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1</v>
      </c>
      <c r="B12" s="746" t="s">
        <v>321</v>
      </c>
      <c r="C12" s="747" t="str">
        <f>Datos!A12</f>
        <v xml:space="preserve">Jdos. 1ª Instª. e Instr.                        </v>
      </c>
      <c r="D12" s="601"/>
      <c r="E12" s="1558">
        <f>IF(ISNUMBER(Datos!AQ12),Datos!AQ12," - ")</f>
        <v>1</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28</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28</v>
      </c>
      <c r="AA12" s="551" t="str">
        <f>IF(ISNUMBER(IF(J_V="SI",Datos!L12,Datos!L12+Datos!AB12)-IF(Monitorios="SI",Datos!CD12,0)),
                          IF(J_V="SI",Datos!L12,Datos!L12+Datos!AB12)-IF(Monitorios="SI",Datos!CD12,0),
                          " - ")</f>
        <v xml:space="preserve"> - </v>
      </c>
      <c r="AB12" s="549"/>
      <c r="AC12" s="549"/>
      <c r="AD12" s="563"/>
      <c r="AE12" s="563">
        <f>IF(ISNUMBER(Datos!R12),Datos!R12," - ")</f>
        <v>443</v>
      </c>
      <c r="AF12" s="693" t="str">
        <f>IF(ISNUMBER(Datos!BV12),Datos!BV12," - ")</f>
        <v xml:space="preserve"> - </v>
      </c>
      <c r="AG12" s="552" t="str">
        <f>IF(ISNUMBER(Datos!DV12),Datos!DV12," - ")</f>
        <v xml:space="preserve"> - </v>
      </c>
      <c r="AH12" s="553"/>
      <c r="AI12" s="554"/>
      <c r="AJ12" s="552">
        <f>IF(ISNUMBER(Datos!M12),Datos!M12," - ")</f>
        <v>39</v>
      </c>
      <c r="AK12" s="693">
        <f>IF(ISNUMBER(Datos!N12),Datos!N12," - ")</f>
        <v>79</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8.8571428571428594</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0</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1</v>
      </c>
      <c r="F14" s="1197">
        <f>SUBTOTAL(9,F8:F13)</f>
        <v>2</v>
      </c>
      <c r="G14" s="1197">
        <f>SUBTOTAL(9,G8:G13)</f>
        <v>2</v>
      </c>
      <c r="H14" s="1211"/>
      <c r="I14" s="1197">
        <f t="shared" ref="I14:N14" si="1">SUBTOTAL(9,I8:I13)</f>
        <v>0</v>
      </c>
      <c r="J14" s="1164">
        <f t="shared" si="1"/>
        <v>0</v>
      </c>
      <c r="K14" s="1211">
        <f t="shared" si="1"/>
        <v>0</v>
      </c>
      <c r="L14" s="1211">
        <f t="shared" si="1"/>
        <v>0</v>
      </c>
      <c r="M14" s="1211">
        <f t="shared" si="1"/>
        <v>0</v>
      </c>
      <c r="N14" s="1211">
        <f t="shared" si="1"/>
        <v>28</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0</v>
      </c>
      <c r="Z14" s="1210">
        <f t="shared" si="3"/>
        <v>28</v>
      </c>
      <c r="AA14" s="1199">
        <f t="shared" si="3"/>
        <v>3</v>
      </c>
      <c r="AB14" s="1199">
        <f t="shared" si="3"/>
        <v>0</v>
      </c>
      <c r="AC14" s="1199">
        <f t="shared" si="3"/>
        <v>0</v>
      </c>
      <c r="AD14" s="1199">
        <f t="shared" si="3"/>
        <v>0</v>
      </c>
      <c r="AE14" s="1199">
        <f t="shared" si="3"/>
        <v>443</v>
      </c>
      <c r="AF14" s="1211">
        <f t="shared" si="3"/>
        <v>0</v>
      </c>
      <c r="AG14" s="1211">
        <f t="shared" si="3"/>
        <v>0</v>
      </c>
      <c r="AH14" s="1211">
        <f t="shared" si="3"/>
        <v>0</v>
      </c>
      <c r="AI14" s="1211">
        <f t="shared" si="3"/>
        <v>0</v>
      </c>
      <c r="AJ14" s="1211">
        <f t="shared" si="3"/>
        <v>39</v>
      </c>
      <c r="AK14" s="1211">
        <f t="shared" si="3"/>
        <v>79</v>
      </c>
      <c r="AL14" s="1211">
        <f t="shared" si="3"/>
        <v>0</v>
      </c>
      <c r="AM14" s="1211">
        <f t="shared" si="3"/>
        <v>0</v>
      </c>
      <c r="AN14" s="1211">
        <f t="shared" si="3"/>
        <v>0</v>
      </c>
      <c r="AO14" s="1203">
        <f>IF(ISNUMBER(((NºAsuntos!I14/NºAsuntos!G14)*11)/factor_trimestre),((NºAsuntos!I14/NºAsuntos!G14)*11)/factor_trimestre," - ")</f>
        <v>8.9107142857142865</v>
      </c>
      <c r="AP14" s="1213" t="str">
        <f>IF(ISNUMBER(Datos!CI14/Datos!CJ14),Datos!CI14/Datos!CJ14," - ")</f>
        <v xml:space="preserve"> - </v>
      </c>
      <c r="AQ14" s="1236">
        <f t="shared" ref="AQ14:AV14" si="4">SUBTOTAL(9,AQ9:AQ13)</f>
        <v>0</v>
      </c>
      <c r="AR14" s="1236">
        <f t="shared" si="4"/>
        <v>0</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1</v>
      </c>
      <c r="B17" s="746" t="s">
        <v>511</v>
      </c>
      <c r="C17" s="765" t="str">
        <f>Datos!A17</f>
        <v xml:space="preserve">Jdos. 1ª Instª. e Instr.                        </v>
      </c>
      <c r="D17" s="593"/>
      <c r="E17" s="1558">
        <f>IF(ISNUMBER(Datos!AQ17),Datos!AQ17," - ")</f>
        <v>1</v>
      </c>
      <c r="F17" s="543">
        <f>IF(ISNUMBER(AA17+Y17-Datos!J17-K16),AA17+Y17-Datos!J17-K16," - ")</f>
        <v>362</v>
      </c>
      <c r="G17" s="552">
        <f>IF(ISNUMBER(IF(D_I="SI",Datos!I17,Datos!I17+Datos!AC17)),IF(D_I="SI",Datos!I17,Datos!I17+Datos!AC17)," - ")</f>
        <v>362</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9</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242</v>
      </c>
      <c r="Z17" s="805">
        <f>IF(ISNUMBER(Datos!Q17),Datos!Q17," - ")</f>
        <v>3</v>
      </c>
      <c r="AA17" s="551">
        <f>IF(ISNUMBER(IF(D_I="SI",Datos!L17,Datos!L17+Datos!AF17)),IF(D_I="SI",Datos!L17,Datos!L17+Datos!AF17)," - ")</f>
        <v>318</v>
      </c>
      <c r="AB17" s="549"/>
      <c r="AC17" s="549"/>
      <c r="AD17" s="563"/>
      <c r="AE17" s="563">
        <f>IF(ISNUMBER(Datos!R17),Datos!R17," - ")</f>
        <v>27</v>
      </c>
      <c r="AF17" s="693" t="str">
        <f>IF(ISNUMBER(Datos!BV17),Datos!BV17," - ")</f>
        <v xml:space="preserve"> - </v>
      </c>
      <c r="AG17" s="552"/>
      <c r="AH17" s="553"/>
      <c r="AI17" s="554"/>
      <c r="AJ17" s="552">
        <f>IF(ISNUMBER(Datos!M17),Datos!M17," - ")</f>
        <v>34</v>
      </c>
      <c r="AK17" s="693">
        <f>IF(ISNUMBER(Datos!N17),Datos!N17," - ")</f>
        <v>165</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3.9421487603305789</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21</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6</v>
      </c>
      <c r="Z18" s="805">
        <f>IF(ISNUMBER(Datos!Q18),Datos!Q18," - ")</f>
        <v>0</v>
      </c>
      <c r="AA18" s="551">
        <f>IF(ISNUMBER(Datos!L18),Datos!L18,"-")</f>
        <v>21</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0</v>
      </c>
      <c r="AK18" s="693">
        <f>IF(ISNUMBER(Datos!N18),Datos!N18," - ")</f>
        <v>12</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10.5</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1</v>
      </c>
      <c r="F23" s="1197">
        <f>SUBTOTAL(9,F16:F22)</f>
        <v>362</v>
      </c>
      <c r="G23" s="1197">
        <f>SUBTOTAL(9,G16:G22)</f>
        <v>383</v>
      </c>
      <c r="H23" s="1240">
        <f>SUBTOTAL(9,H16:H22)</f>
        <v>0</v>
      </c>
      <c r="I23" s="1217">
        <f>SUBTOTAL(9,I16:I22)</f>
        <v>0</v>
      </c>
      <c r="J23" s="1164">
        <f>SUBTOTAL(9,J15:J22)</f>
        <v>0</v>
      </c>
      <c r="K23" s="1240">
        <f t="shared" ref="K23:S23" si="5">SUBTOTAL(9,K16:K22)</f>
        <v>0</v>
      </c>
      <c r="L23" s="1240">
        <f t="shared" si="5"/>
        <v>0</v>
      </c>
      <c r="M23" s="1240">
        <f t="shared" si="5"/>
        <v>0</v>
      </c>
      <c r="N23" s="1240">
        <f t="shared" si="5"/>
        <v>9</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248</v>
      </c>
      <c r="Z23" s="1240">
        <f t="shared" si="6"/>
        <v>3</v>
      </c>
      <c r="AA23" s="1240">
        <f t="shared" si="6"/>
        <v>339</v>
      </c>
      <c r="AB23" s="1240">
        <f t="shared" si="6"/>
        <v>0</v>
      </c>
      <c r="AC23" s="1240">
        <f t="shared" si="6"/>
        <v>0</v>
      </c>
      <c r="AD23" s="1240">
        <f t="shared" si="6"/>
        <v>0</v>
      </c>
      <c r="AE23" s="1240">
        <f t="shared" si="6"/>
        <v>27</v>
      </c>
      <c r="AF23" s="1240">
        <f t="shared" si="6"/>
        <v>0</v>
      </c>
      <c r="AG23" s="1240">
        <f t="shared" si="6"/>
        <v>0</v>
      </c>
      <c r="AH23" s="1240">
        <f t="shared" si="6"/>
        <v>0</v>
      </c>
      <c r="AI23" s="1240">
        <f t="shared" si="6"/>
        <v>0</v>
      </c>
      <c r="AJ23" s="1240">
        <f t="shared" si="6"/>
        <v>34</v>
      </c>
      <c r="AK23" s="1240">
        <f t="shared" si="6"/>
        <v>177</v>
      </c>
      <c r="AL23" s="1240">
        <f t="shared" si="6"/>
        <v>0</v>
      </c>
      <c r="AM23" s="1240">
        <f t="shared" si="6"/>
        <v>0</v>
      </c>
      <c r="AN23" s="1240">
        <f t="shared" si="6"/>
        <v>0</v>
      </c>
      <c r="AO23" s="1242">
        <f>IF(ISNUMBER(((NºAsuntos!I23/NºAsuntos!G23)*11)/factor_trimestre),((NºAsuntos!I23/NºAsuntos!G23)*11)/factor_trimestre," - ")</f>
        <v>4.1008064516129039</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v>
      </c>
      <c r="F31" s="1117">
        <f t="shared" si="12"/>
        <v>364</v>
      </c>
      <c r="G31" s="1117">
        <f t="shared" si="12"/>
        <v>385</v>
      </c>
      <c r="H31" s="1118">
        <f t="shared" si="12"/>
        <v>0</v>
      </c>
      <c r="I31" s="1117">
        <f t="shared" si="12"/>
        <v>0</v>
      </c>
      <c r="J31" s="1119">
        <f t="shared" si="12"/>
        <v>0</v>
      </c>
      <c r="K31" s="1117">
        <f t="shared" si="12"/>
        <v>0</v>
      </c>
      <c r="L31" s="1120">
        <f t="shared" si="12"/>
        <v>0</v>
      </c>
      <c r="M31" s="1117">
        <f t="shared" si="12"/>
        <v>0</v>
      </c>
      <c r="N31" s="1118">
        <f t="shared" si="12"/>
        <v>37</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248</v>
      </c>
      <c r="Z31" s="1124">
        <f t="shared" si="13"/>
        <v>31</v>
      </c>
      <c r="AA31" s="1125">
        <f t="shared" si="13"/>
        <v>342</v>
      </c>
      <c r="AB31" s="1125">
        <f t="shared" si="13"/>
        <v>0</v>
      </c>
      <c r="AC31" s="1125">
        <f t="shared" si="13"/>
        <v>0</v>
      </c>
      <c r="AD31" s="1126">
        <f t="shared" si="13"/>
        <v>0</v>
      </c>
      <c r="AE31" s="1126">
        <f t="shared" si="13"/>
        <v>470</v>
      </c>
      <c r="AF31" s="1127">
        <f t="shared" si="13"/>
        <v>0</v>
      </c>
      <c r="AG31" s="1128">
        <f t="shared" si="13"/>
        <v>0</v>
      </c>
      <c r="AH31" s="1129">
        <f t="shared" si="13"/>
        <v>0</v>
      </c>
      <c r="AI31" s="1127">
        <f t="shared" si="13"/>
        <v>0</v>
      </c>
      <c r="AJ31" s="1117">
        <f t="shared" si="13"/>
        <v>73</v>
      </c>
      <c r="AK31" s="1117">
        <f t="shared" si="13"/>
        <v>256</v>
      </c>
      <c r="AL31" s="1117">
        <f t="shared" si="13"/>
        <v>0</v>
      </c>
      <c r="AM31" s="1130">
        <f t="shared" si="13"/>
        <v>0</v>
      </c>
      <c r="AN31" s="1120">
        <f>IF(ISNUMBER(Datos!K31/Datos!J31),Datos!K31/Datos!J31," - ")</f>
        <v>1.0582010582010581</v>
      </c>
      <c r="AO31" s="1120">
        <f>IF(ISNUMBER(FIND("06",Criterios!A8,1)),(IF(ISNUMBER(((Datos!R31/Datos!Q31)*11)/factor_trimestre),((Datos!R31/Datos!Q31)*11)/factor_trimestre," - ")),(IF(ISNUMBER(((Datos!L31/Datos!K31)*11)/factor_trimestre),((Datos!L31/Datos!K31)*11)/factor_trimestre," - ")))</f>
        <v>6.2400000000000011</v>
      </c>
      <c r="AP31" s="1131" t="str">
        <f>IF(ISNUMBER(Datos!CI31/Datos!CJ31),Datos!CI31/Datos!CJ31," - ")</f>
        <v xml:space="preserve"> - </v>
      </c>
      <c r="AQ31" s="1131">
        <f>IF(OR(ISNUMBER(FIND("01",Criterios!A8,1)),ISNUMBER(FIND("02",Criterios!A8,1)),ISNUMBER(FIND("03",Criterios!A8,1)),ISNUMBER(FIND("04",Criterios!A8,1))),(J31-Y31+K31)/(F31-K31),(I31-Y31+K31)/(F31-K31))</f>
        <v>-0.68131868131868134</v>
      </c>
      <c r="AR31" s="1131">
        <f>IF(ISNUMBER((Datos!P31-Datos!Q31+O31)/(Datos!R31-Datos!P31+Datos!Q31-O31)),(Datos!P31-Datos!Q31+O31)/(Datos!R31-Datos!P31+Datos!Q31-O31)," - ")</f>
        <v>1.2931034482758621E-2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110</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186.42174408224665</v>
      </c>
      <c r="G33" s="674">
        <f>IF(ISNUMBER(STDEV(G8:G30)),STDEV(G8:G30),"-")</f>
        <v>179.57449707572621</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19.60138479073062</v>
      </c>
      <c r="AK33" s="276"/>
      <c r="AL33" s="276">
        <f>IF(ISNUMBER(STDEV(AL8:AL30)),STDEV(AL8:AL30),"-")</f>
        <v>0</v>
      </c>
      <c r="AM33" s="278">
        <f>IF(ISNUMBER(STDEV(AM8:AM30)),STDEV(AM8:AM30),"-")</f>
        <v>0</v>
      </c>
      <c r="AN33" s="660">
        <f>IF(ISNUMBER(STDEV(AN8:AN30)),STDEV(AN8:AN30),"-")</f>
        <v>0</v>
      </c>
      <c r="AO33" s="661">
        <f>IF(ISNUMBER(STDEV(AO8:AO30)),STDEV(AO8:AO30),"-")</f>
        <v>3.0315812830322981</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01Ud1X8Mn/AgMXFQ7A1EZla6lWvOMRxHUGV8d+ogzvwI9+7h11OQ1ovhG99NN4gbmca1H/v4lkKaGeFb3Hkv0w==" saltValue="kYuM01NTy66c6Cb0LIwRb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4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Pg2uwGgy0cZalLGStqxGXYUrBd2xI++2k/an+a2eM++ravhyRwLjCmrvHjipp7mbtttTdaIRXNrsqMzd+vwfCA==" saltValue="rMFDjnUwE+9GLy9mPoTXq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uruiz1Zma9dljhzoQj8DXVPpVVsd5W6yI66etb9wgV/8BzjmxoeGXPNEe8uqxK6g9CVvwNSvozbOPmqYz/xDLA==" saltValue="tMkxUJc3WFgGxSdNHsgbOA=="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ASTURIAS</v>
      </c>
      <c r="F1" s="856"/>
    </row>
    <row r="2" spans="1:75" ht="16.5" customHeight="1">
      <c r="C2" s="567" t="str">
        <f>Criterios!A10 &amp;"  "&amp;Criterios!B10 &amp; "  " &amp; IF(NOT(ISBLANK(Criterios!A11)),Criterios!A11 &amp;"  "&amp;Criterios!B11,"")</f>
        <v>Provincias  ASTURIAS  Resumenes por Partidos Judiciales  VALDES</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0.23214285714285715</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0.16414978848973424</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BXLGG5FcYKxMRQa1eqL65Xra8bn0lUQY4f3N3AxJvqOtuYeBazndUhDLnzK5O88a7Qgl2Pu+9y2/6mudGC9p/w==" saltValue="Q5V+u4Dg0vXgg9Do+WJfzg=="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BG+2qmZy4ekgZ8RaQp8edHOjzZSPerJaOimovgzsV4nbNeSJTlgaytOgz3IisV+LZJZi30mm0EcYaRI7nm62bg==" saltValue="UtDOCndV6Ronz9v0EyQ2w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ASTURIAS</v>
      </c>
      <c r="C2" s="436"/>
      <c r="D2" s="436"/>
      <c r="E2" s="436"/>
      <c r="F2" s="436"/>
    </row>
    <row r="3" spans="1:14" ht="19.5">
      <c r="A3" s="438" t="s">
        <v>159</v>
      </c>
      <c r="B3" s="439" t="str">
        <f>Criterios!A10 &amp;"  "&amp;Criterios!B10</f>
        <v>Provincias  ASTURIAS</v>
      </c>
      <c r="D3" s="436"/>
      <c r="E3" s="436"/>
      <c r="F3" s="436"/>
    </row>
    <row r="4" spans="1:14" ht="13.5" thickBot="1">
      <c r="A4" s="436"/>
      <c r="B4" s="439" t="str">
        <f>Criterios!A11 &amp;"  "&amp;Criterios!B11</f>
        <v>Resumenes por Partidos Judiciales  VALDES</v>
      </c>
      <c r="C4" s="436"/>
      <c r="D4" s="436"/>
      <c r="E4" s="436"/>
      <c r="F4" s="436"/>
    </row>
    <row r="5" spans="1:14" ht="15.75" customHeight="1">
      <c r="A5" s="1579" t="str">
        <f>"Año:  " &amp;Criterios!B5 &amp; "     Trimestre   " &amp;Criterios!D5 &amp; " al " &amp;Criterios!D6</f>
        <v>Año:  2022     Trimestre   4 al 4</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2</v>
      </c>
      <c r="D10" s="452">
        <f>IF(ISNUMBER(C10/Datos!BH10),C10/Datos!BH10," - ")</f>
        <v>2</v>
      </c>
      <c r="E10" s="451">
        <f>IF(ISNUMBER(Datos!J10),Datos!J10," - ")</f>
        <v>1</v>
      </c>
      <c r="F10" s="452">
        <f>IF(ISNUMBER(E10/B10),E10/B10," - ")</f>
        <v>1</v>
      </c>
      <c r="G10" s="451">
        <f>IF(ISNUMBER(Datos!K10),Datos!K10," - ")</f>
        <v>0</v>
      </c>
      <c r="H10" s="452">
        <f>IF(ISNUMBER(G10/B10),G10/B10," - ")</f>
        <v>0</v>
      </c>
      <c r="I10" s="451">
        <f>IF(ISNUMBER(Datos!L10),Datos!L10," - ")</f>
        <v>3</v>
      </c>
      <c r="J10" s="452">
        <f>IF(ISNUMBER(I10/B10),I10/B10," - ")</f>
        <v>3</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1</v>
      </c>
      <c r="C12" s="451">
        <f>IF(ISNUMBER(IF(J_V="SI",Datos!I12,Datos!I12+Datos!Y12)),IF(J_V="SI",Datos!I12,Datos!I12+Datos!Y12)," - ")</f>
        <v>470</v>
      </c>
      <c r="D12" s="452">
        <f>IF(ISNUMBER(C12/Datos!BH12),C12/Datos!BH12," - ")</f>
        <v>470</v>
      </c>
      <c r="E12" s="451">
        <f>IF(ISNUMBER(IF(J_V="SI",Datos!J12,Datos!J12+Datos!Z12)),IF(J_V="SI",Datos!J12,Datos!J12+Datos!Z12)," - ")</f>
        <v>194</v>
      </c>
      <c r="F12" s="452">
        <f>IF(ISNUMBER(E12/B12),E12/B12," - ")</f>
        <v>194</v>
      </c>
      <c r="G12" s="451">
        <f>IF(ISNUMBER(IF(J_V="SI",Datos!K12,Datos!K12+Datos!AA12)),IF(J_V="SI",Datos!K12,Datos!K12+Datos!AA12)," - ")</f>
        <v>168</v>
      </c>
      <c r="H12" s="452">
        <f>IF(ISNUMBER(G12/B12),G12/B12," - ")</f>
        <v>168</v>
      </c>
      <c r="I12" s="451">
        <f>IF(ISNUMBER(IF(J_V="SI",Datos!L12,Datos!L12+Datos!AB12)),IF(J_V="SI",Datos!L12,Datos!L12+Datos!AB12)," - ")</f>
        <v>496</v>
      </c>
      <c r="J12" s="452">
        <f>IF(ISNUMBER(I12/B12),I12/B12," - ")</f>
        <v>496</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v>
      </c>
      <c r="C14" s="1146">
        <f>SUBTOTAL(9,C8:C13)</f>
        <v>472</v>
      </c>
      <c r="D14" s="1147" t="str">
        <f>IF(ISNUMBER(C14/Datos!BI14),C14/Datos!BI14," - ")</f>
        <v xml:space="preserve"> - </v>
      </c>
      <c r="E14" s="1146">
        <f>SUBTOTAL(9,E8:E13)</f>
        <v>195</v>
      </c>
      <c r="F14" s="1147">
        <f>IF(ISNUMBER(E14/B14),E14/B14," - ")</f>
        <v>195</v>
      </c>
      <c r="G14" s="1146">
        <f>SUBTOTAL(9,G8:G13)</f>
        <v>168</v>
      </c>
      <c r="H14" s="1147">
        <f>IF(ISNUMBER(G14/B14),G14/B14," - ")</f>
        <v>168</v>
      </c>
      <c r="I14" s="1146">
        <f>SUBTOTAL(9,I8:I13)</f>
        <v>499</v>
      </c>
      <c r="J14" s="1147">
        <f>IF(ISNUMBER(I14/B14),I14/B14," - ")</f>
        <v>499</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1</v>
      </c>
      <c r="C17" s="451">
        <f>IF(ISNUMBER(IF(D_I="SI",Datos!I17,Datos!I17+Datos!AC17)),IF(D_I="SI",Datos!I17,Datos!I17+Datos!AC17)," - ")</f>
        <v>362</v>
      </c>
      <c r="D17" s="452">
        <f>IF(ISNUMBER(C17/Datos!BH17),C17/Datos!BH17," - ")</f>
        <v>362</v>
      </c>
      <c r="E17" s="451">
        <f>IF(ISNUMBER(IF(D_I="SI",Datos!J17,Datos!J17+Datos!AD17)),IF(D_I="SI",Datos!J17,Datos!J17+Datos!AD17)," - ")</f>
        <v>198</v>
      </c>
      <c r="F17" s="452">
        <f>IF(ISNUMBER(E17/B17),E17/B17," - ")</f>
        <v>198</v>
      </c>
      <c r="G17" s="451">
        <f>IF(ISNUMBER(IF(D_I="SI",Datos!K17,Datos!K17+Datos!AE17)),IF(D_I="SI",Datos!K17,Datos!K17+Datos!AE17)," - ")</f>
        <v>242</v>
      </c>
      <c r="H17" s="452">
        <f>IF(ISNUMBER(G17/B17),G17/B17," - ")</f>
        <v>242</v>
      </c>
      <c r="I17" s="451">
        <f>IF(ISNUMBER(IF(D_I="SI",Datos!L17,Datos!L17+Datos!AF17)),IF(D_I="SI",Datos!L17,Datos!L17+Datos!AF17)," - ")</f>
        <v>318</v>
      </c>
      <c r="J17" s="452">
        <f>IF(ISNUMBER(I17/B17),I17/B17," - ")</f>
        <v>318</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21</v>
      </c>
      <c r="D18" s="452">
        <f>IF(ISNUMBER(C18/Datos!BH18),C18/Datos!BH18," - ")</f>
        <v>21</v>
      </c>
      <c r="E18" s="451">
        <f>IF(ISNUMBER(IF(D_I="SI",Datos!J18,Datos!J18+Datos!AD18)),IF(D_I="SI",Datos!J18,Datos!J18+Datos!AD18)," - ")</f>
        <v>6</v>
      </c>
      <c r="F18" s="452">
        <f>IF(ISNUMBER(E18/B18),E18/B18," - ")</f>
        <v>6</v>
      </c>
      <c r="G18" s="451">
        <f>IF(ISNUMBER(IF(D_I="SI",Datos!K18,Datos!K18+Datos!AE18)),IF(D_I="SI",Datos!K18,Datos!K18+Datos!AE18)," - ")</f>
        <v>6</v>
      </c>
      <c r="H18" s="452">
        <f>IF(ISNUMBER(G18/B18),G18/B18," - ")</f>
        <v>6</v>
      </c>
      <c r="I18" s="451">
        <f>IF(ISNUMBER(IF(D_I="SI",Datos!L18,Datos!L18+Datos!AF18)),IF(D_I="SI",Datos!L18,Datos!L18+Datos!AF18)," - ")</f>
        <v>21</v>
      </c>
      <c r="J18" s="452">
        <f>IF(ISNUMBER(I18/B18),I18/B18," - ")</f>
        <v>21</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v>
      </c>
      <c r="C23" s="1146">
        <f>SUBTOTAL(9,C15:C22)</f>
        <v>383</v>
      </c>
      <c r="D23" s="1147" t="str">
        <f>IF(ISNUMBER(C23/Datos!BI23),C23/Datos!BI23," - ")</f>
        <v xml:space="preserve"> - </v>
      </c>
      <c r="E23" s="1146">
        <f>SUBTOTAL(9,E15:E22)</f>
        <v>204</v>
      </c>
      <c r="F23" s="1147">
        <f>IF(ISNUMBER(E23/B23),E23/B23," - ")</f>
        <v>204</v>
      </c>
      <c r="G23" s="1146">
        <f>SUBTOTAL(9,G15:G22)</f>
        <v>248</v>
      </c>
      <c r="H23" s="1147">
        <f>IF(ISNUMBER(G23/B23),G23/B23," - ")</f>
        <v>248</v>
      </c>
      <c r="I23" s="1146">
        <f>SUBTOTAL(9,I15:I22)</f>
        <v>339</v>
      </c>
      <c r="J23" s="1147">
        <f>IF(ISNUMBER(I23/B23),I23/B23," - ")</f>
        <v>339</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v>
      </c>
      <c r="C31" s="1084">
        <f>SUBTOTAL(9,C9:C30)</f>
        <v>855</v>
      </c>
      <c r="D31" s="1085" t="str">
        <f>IF(ISNUMBER(C31/Datos!BI31),C31/Datos!BI31," - ")</f>
        <v xml:space="preserve"> - </v>
      </c>
      <c r="E31" s="1084">
        <f>SUBTOTAL(9,E9:E30)</f>
        <v>399</v>
      </c>
      <c r="F31" s="1085">
        <f>IF(ISNUMBER(E31/B31),E31/B31," - ")</f>
        <v>399</v>
      </c>
      <c r="G31" s="1084">
        <f>SUBTOTAL(9,G9:G30)</f>
        <v>416</v>
      </c>
      <c r="H31" s="1085">
        <f>IF(ISNUMBER(G31/B31),G31/B31," - ")</f>
        <v>416</v>
      </c>
      <c r="I31" s="1084">
        <f>SUBTOTAL(9,I9:I30)</f>
        <v>838</v>
      </c>
      <c r="J31" s="1085">
        <f>IF(ISNUMBER(I31/B31),I31/B31," - ")</f>
        <v>838</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kwFgAqR8eXW8Oi4o2yre7BmTI8j/9c7N/neBSau/0qRJbgasPtHzy0ggbSGn3ZhHhN/P7B2ajOka+hjbp6ymBg==" saltValue="OZQDt+pN5JT4lLshlXR6c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ASTURIAS</v>
      </c>
      <c r="F1" s="856"/>
      <c r="W1"/>
      <c r="X1"/>
      <c r="BE1" s="856"/>
    </row>
    <row r="2" spans="1:65" ht="16.5" customHeight="1">
      <c r="C2" s="567" t="str">
        <f>Criterios!A10 &amp;"  "&amp;Criterios!B10 &amp; "  " &amp; IF(NOT(ISBLANK(Criterios!A11)),Criterios!A11 &amp;"  "&amp;Criterios!B11,"")</f>
        <v>Provincias  ASTURIAS  Resumenes por Partidos Judiciales  VALDES</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4 al 4</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2</v>
      </c>
      <c r="G10" s="906">
        <f>IF(ISNUMBER(Datos!I10),Datos!I10," - ")</f>
        <v>2</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0</v>
      </c>
      <c r="AC10" s="905" t="str">
        <f>IF(ISNUMBER(IF(D_I="SI",DatosP!K18,DatosP!K18+DatosP!AE18)),IF(D_I="SI",DatosP!K18,DatosP!K18+DatosP!AE18)," - ")</f>
        <v xml:space="preserve"> - </v>
      </c>
      <c r="AD10" s="907"/>
      <c r="AE10" s="907"/>
      <c r="AF10" s="910">
        <f>IF(ISNUMBER(Datos!L10),Datos!L10,"-")</f>
        <v>3</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t="str">
        <f>IF(ISNUMBER(((Datos!L10/Datos!K10)*11)/factor_trimestre),((Datos!L10/Datos!K10)*11)/factor_trimestre," - ")</f>
        <v xml:space="preserve"> - </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1</v>
      </c>
      <c r="B12" s="746" t="s">
        <v>321</v>
      </c>
      <c r="C12" s="747" t="str">
        <f>Datos!A12</f>
        <v xml:space="preserve">Jdos. 1ª Instª. e Instr.                        </v>
      </c>
      <c r="D12" s="601"/>
      <c r="E12" s="904">
        <f>IF(ISNUMBER(Datos!AQ12),Datos!AQ12," - ")</f>
        <v>1</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28</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28</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443</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39</v>
      </c>
      <c r="AM12" s="914">
        <f>IF(ISNUMBER(Datos!N12+DatosP!N17),Datos!N12+DatosP!N17," - ")</f>
        <v>79</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8.8571428571428594</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0</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v>
      </c>
      <c r="F14" s="1256">
        <f t="shared" si="0"/>
        <v>2</v>
      </c>
      <c r="G14" s="1256">
        <f t="shared" si="0"/>
        <v>2</v>
      </c>
      <c r="H14" s="1256">
        <f t="shared" si="0"/>
        <v>0</v>
      </c>
      <c r="I14" s="1258">
        <f t="shared" si="0"/>
        <v>0</v>
      </c>
      <c r="J14" s="1257">
        <f t="shared" si="0"/>
        <v>0</v>
      </c>
      <c r="K14" s="1257">
        <f t="shared" si="0"/>
        <v>0</v>
      </c>
      <c r="L14" s="1259">
        <f t="shared" si="0"/>
        <v>0</v>
      </c>
      <c r="M14" s="1259">
        <f t="shared" si="0"/>
        <v>0</v>
      </c>
      <c r="N14" s="1257">
        <f t="shared" si="0"/>
        <v>28</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0</v>
      </c>
      <c r="AC14" s="1257">
        <f t="shared" si="1"/>
        <v>0</v>
      </c>
      <c r="AD14" s="1257">
        <f t="shared" si="1"/>
        <v>28</v>
      </c>
      <c r="AE14" s="1257">
        <f t="shared" si="1"/>
        <v>0</v>
      </c>
      <c r="AF14" s="1257">
        <f t="shared" si="1"/>
        <v>3</v>
      </c>
      <c r="AG14" s="1257">
        <f t="shared" si="1"/>
        <v>0</v>
      </c>
      <c r="AH14" s="1257">
        <f t="shared" si="1"/>
        <v>443</v>
      </c>
      <c r="AI14" s="1257">
        <f t="shared" si="1"/>
        <v>0</v>
      </c>
      <c r="AJ14" s="1257">
        <f t="shared" si="1"/>
        <v>0</v>
      </c>
      <c r="AK14" s="1257">
        <f t="shared" si="1"/>
        <v>0</v>
      </c>
      <c r="AL14" s="1257">
        <f t="shared" si="1"/>
        <v>39</v>
      </c>
      <c r="AM14" s="1257">
        <f t="shared" si="1"/>
        <v>79</v>
      </c>
      <c r="AN14" s="1257">
        <f t="shared" si="1"/>
        <v>0</v>
      </c>
      <c r="AO14" s="1257">
        <f t="shared" si="1"/>
        <v>0</v>
      </c>
      <c r="AP14" s="1262">
        <f>IF(ISNUMBER(((Datos!L14/Datos!K14)*11)/factor_trimestre),((Datos!L14/Datos!K14)*11)/factor_trimestre," - ")</f>
        <v>9.7302631578947381</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v>
      </c>
      <c r="AU14" s="1257" t="str">
        <f>IF(ISNUMBER((DatosP!#REF!-DatosP!#REF!+DatosP!#REF!)/(DatosP!#REF!+DatosP!#REF!-DatosP!#REF!-DatosP!#REF!)),(DatosP!#REF!-DatosP!#REF!+DatosP!#REF!)/(DatosP!#REF!+DatosP!#REF!-DatosP!#REF!-DatosP!#REF!)," - ")</f>
        <v xml:space="preserve"> - </v>
      </c>
      <c r="AV14" s="1263">
        <f>SUBTOTAL(9,AV9:AV13)</f>
        <v>0</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1</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4.1008064516129039</v>
      </c>
      <c r="AQ23" s="1262">
        <f>IF(ISNUMBER(((Datos!M23/Datos!L23)*11)/factor_trimestre),((Datos!M23/Datos!L23)*11)/factor_trimestre," - ")</f>
        <v>0.30088495575221241</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0.2857142857142857</v>
      </c>
      <c r="AW23" s="1265">
        <f>IF(ISNUMBER((Datos!Q23-Datos!R23)/(Datos!S23-Datos!Q23+Datos!R23)),(Datos!Q23-Datos!R23)/(Datos!S23-Datos!Q23+Datos!R23)," - ")</f>
        <v>-6.0759493670886074E-2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v>
      </c>
      <c r="F31" s="1278">
        <f t="shared" si="8"/>
        <v>2</v>
      </c>
      <c r="G31" s="1278">
        <f t="shared" si="8"/>
        <v>2</v>
      </c>
      <c r="H31" s="1278">
        <f t="shared" si="8"/>
        <v>0</v>
      </c>
      <c r="I31" s="1279">
        <f t="shared" si="8"/>
        <v>0</v>
      </c>
      <c r="J31" s="1280">
        <f t="shared" si="8"/>
        <v>0</v>
      </c>
      <c r="K31" s="1280">
        <f t="shared" si="8"/>
        <v>0</v>
      </c>
      <c r="L31" s="1280">
        <f t="shared" si="8"/>
        <v>0</v>
      </c>
      <c r="M31" s="1280">
        <f t="shared" si="8"/>
        <v>0</v>
      </c>
      <c r="N31" s="1279">
        <f t="shared" si="8"/>
        <v>28</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0</v>
      </c>
      <c r="AC31" s="1284">
        <f t="shared" si="9"/>
        <v>0</v>
      </c>
      <c r="AD31" s="1284">
        <f t="shared" si="9"/>
        <v>28</v>
      </c>
      <c r="AE31" s="1284">
        <f t="shared" si="9"/>
        <v>0</v>
      </c>
      <c r="AF31" s="1285">
        <f t="shared" si="9"/>
        <v>3</v>
      </c>
      <c r="AG31" s="1285">
        <f t="shared" si="9"/>
        <v>0</v>
      </c>
      <c r="AH31" s="1285">
        <f t="shared" si="9"/>
        <v>443</v>
      </c>
      <c r="AI31" s="1285">
        <f t="shared" si="9"/>
        <v>0</v>
      </c>
      <c r="AJ31" s="1286">
        <f t="shared" si="9"/>
        <v>0</v>
      </c>
      <c r="AK31" s="1286">
        <f t="shared" si="9"/>
        <v>0</v>
      </c>
      <c r="AL31" s="1278">
        <f t="shared" si="9"/>
        <v>39</v>
      </c>
      <c r="AM31" s="1278">
        <f t="shared" si="9"/>
        <v>79</v>
      </c>
      <c r="AN31" s="1278">
        <f t="shared" si="9"/>
        <v>0</v>
      </c>
      <c r="AO31" s="1278">
        <f t="shared" si="9"/>
        <v>0</v>
      </c>
      <c r="AP31" s="1278">
        <f>IF(ISNUMBER(((Datos!L31/Datos!K31)*11)/factor_trimestre),((Datos!L31/Datos!K31)*11)/factor_trimestre," - ")</f>
        <v>6.2400000000000011</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1.2931034482758621E-2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0.8</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0.44095855184409843</v>
      </c>
      <c r="F33" s="1006">
        <f>IF(ISNUMBER(STDEV(F8:F30)),STDEV(F8:F30),"-")</f>
        <v>1.0954451150103321</v>
      </c>
      <c r="G33" s="1007">
        <f>IF(ISNUMBER(STDEV(G8:G30)),STDEV(G8:G30),"-")</f>
        <v>1.0954451150103321</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v>
      </c>
      <c r="AC33" s="1008">
        <f>IF(ISNUMBER(STDEV(AC8:AC30)),STDEV(AC8:AC30),"-")</f>
        <v>0</v>
      </c>
      <c r="AD33" s="1011"/>
      <c r="AE33" s="1011"/>
      <c r="AF33" s="1011"/>
      <c r="AG33" s="1011"/>
      <c r="AH33" s="1011"/>
      <c r="AI33" s="1011"/>
      <c r="AJ33" s="1012">
        <f>IF(ISNUMBER(STDEV(AJ8:AJ30)),STDEV(AJ8:AJ30),"-")</f>
        <v>0</v>
      </c>
      <c r="AK33" s="1014"/>
      <c r="AL33" s="1006">
        <f>IF(ISNUMBER(STDEV(AL8:AL30)),STDEV(AL8:AL30),"-")</f>
        <v>20.139513400278567</v>
      </c>
      <c r="AM33" s="1006"/>
      <c r="AN33" s="1006">
        <f>IF(ISNUMBER(STDEV(AN8:AN30)),STDEV(AN8:AN30),"-")</f>
        <v>0</v>
      </c>
      <c r="AO33" s="1012">
        <f>IF(ISNUMBER(STDEV(AO8:AO30)),STDEV(AO8:AO30),"-")</f>
        <v>0</v>
      </c>
      <c r="AP33" s="1065">
        <f>IF(ISNUMBER(STDEV(AP8:AP30)),STDEV(AP8:AP30),"-")</f>
        <v>3.0297375538170552</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mm9xbZ0gi7BIUr0pTysF0Pu8F+L/euqXYOm1CHekJuL20c0jmIjVyORJe6jo948oq3f45pEkpwwauXXt75+Nvw==" saltValue="sf1F2p1iM6rd3KHt3O2Jp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ASTURIAS</v>
      </c>
      <c r="C2" s="436"/>
      <c r="E2" s="436"/>
      <c r="F2" s="436"/>
      <c r="G2" s="436"/>
      <c r="H2" s="436"/>
    </row>
    <row r="3" spans="1:15" ht="39">
      <c r="A3" s="463" t="s">
        <v>280</v>
      </c>
      <c r="B3" s="439" t="str">
        <f>Criterios!A10 &amp;"  "&amp;Criterios!B10</f>
        <v>Provincias  ASTURIAS</v>
      </c>
      <c r="C3" s="463"/>
      <c r="F3" s="436"/>
      <c r="G3" s="436"/>
      <c r="H3" s="436"/>
    </row>
    <row r="4" spans="1:15" ht="13.5" thickBot="1">
      <c r="A4" s="436"/>
      <c r="B4" s="439" t="str">
        <f>Criterios!A11 &amp;"  "&amp;Criterios!B11</f>
        <v>Resumenes por Partidos Judiciales  VALDES</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1</v>
      </c>
      <c r="D12" s="451">
        <f>Datos!BK12</f>
        <v>0</v>
      </c>
      <c r="E12" s="451">
        <f>Datos!AQ12</f>
        <v>1</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1</v>
      </c>
      <c r="D17" s="451">
        <f>Datos!BK17</f>
        <v>0</v>
      </c>
      <c r="E17" s="451">
        <f>Datos!AQ17</f>
        <v>1</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M0PMLXuOk9k+8zQW/zLGIUARlE/x2iHUYi6D0xA2TU//U9/5MGR/BppJNZqWECi7ZvL63Lx9CWJjZGkq2Jc59w==" saltValue="qwgtWPkK0hIguCipWdf96w=="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ASTURIAS</v>
      </c>
      <c r="C2" s="475"/>
      <c r="D2" s="418"/>
    </row>
    <row r="3" spans="1:9" ht="19.5">
      <c r="A3" s="476" t="s">
        <v>16</v>
      </c>
      <c r="B3" s="477" t="str">
        <f>Criterios!A10 &amp;"  "&amp;Criterios!B10</f>
        <v>Provincias  ASTURIAS</v>
      </c>
      <c r="C3" s="475"/>
      <c r="D3" s="476"/>
    </row>
    <row r="4" spans="1:9" ht="13.5" thickBot="1">
      <c r="B4" s="477" t="str">
        <f>Criterios!A11 &amp;"  "&amp;Criterios!B11</f>
        <v>Resumenes por Partidos Judiciales  VALDES</v>
      </c>
    </row>
    <row r="5" spans="1:9" ht="15.75" customHeight="1">
      <c r="A5" s="1591" t="str">
        <f>"Año:  " &amp;Criterios!B5 &amp; "                  Trimestre   " &amp;Criterios!D5 &amp; " al " &amp;Criterios!D6</f>
        <v>Año:  2022                  Trimestre   4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1</v>
      </c>
      <c r="C12" s="458">
        <f>Datos!AQ12</f>
        <v>1</v>
      </c>
      <c r="D12" s="451">
        <f>IF(ISNUMBER(Datos!M12),Datos!M12," - ")</f>
        <v>39</v>
      </c>
      <c r="E12" s="452">
        <f t="shared" si="0"/>
        <v>39</v>
      </c>
      <c r="F12" s="451">
        <f>IF(ISNUMBER(Datos!N12),Datos!N12," - ")</f>
        <v>79</v>
      </c>
      <c r="G12" s="452">
        <f t="shared" si="1"/>
        <v>79</v>
      </c>
      <c r="H12" s="451">
        <f>IF(ISNUMBER(Datos!O12),Datos!O12," - ")</f>
        <v>15</v>
      </c>
      <c r="I12" s="452">
        <f t="shared" si="2"/>
        <v>15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v>
      </c>
      <c r="C14" s="1148">
        <f>Datos!AR14</f>
        <v>1</v>
      </c>
      <c r="D14" s="1146">
        <f>SUBTOTAL(9,D9:D13)</f>
        <v>39</v>
      </c>
      <c r="E14" s="1147">
        <f t="shared" si="0"/>
        <v>19.5</v>
      </c>
      <c r="F14" s="1146">
        <f>SUBTOTAL(9,F9:F13)</f>
        <v>79</v>
      </c>
      <c r="G14" s="1147">
        <f t="shared" si="1"/>
        <v>39.5</v>
      </c>
      <c r="H14" s="1146">
        <f>SUBTOTAL(9,H9:H13)</f>
        <v>15</v>
      </c>
      <c r="I14" s="1147">
        <f>IF(ISNUMBER(H14/B14),H14/B14," - ")</f>
        <v>7.5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1</v>
      </c>
      <c r="C17" s="481">
        <f>Datos!AQ17</f>
        <v>1</v>
      </c>
      <c r="D17" s="451">
        <f>IF(ISNUMBER(Datos!M17),Datos!M17," - ")</f>
        <v>34</v>
      </c>
      <c r="E17" s="452">
        <f t="shared" si="3"/>
        <v>34</v>
      </c>
      <c r="F17" s="451">
        <f>IF(ISNUMBER(Datos!N17),Datos!N17," - ")</f>
        <v>165</v>
      </c>
      <c r="G17" s="452">
        <f t="shared" si="4"/>
        <v>165</v>
      </c>
      <c r="H17" s="451">
        <f>IF(ISNUMBER(Datos!O17),Datos!O17," - ")</f>
        <v>0</v>
      </c>
      <c r="I17" s="452">
        <f t="shared" si="5"/>
        <v>0</v>
      </c>
    </row>
    <row r="18" spans="1:9">
      <c r="A18" s="450" t="str">
        <f>Datos!A18</f>
        <v>Jdos. Violencia contra la mujer</v>
      </c>
      <c r="B18" s="480">
        <f>Datos!AO18</f>
        <v>1</v>
      </c>
      <c r="C18" s="481">
        <f>Datos!AQ18</f>
        <v>0</v>
      </c>
      <c r="D18" s="451">
        <f>IF(ISNUMBER(Datos!M18),Datos!M18," - ")</f>
        <v>0</v>
      </c>
      <c r="E18" s="452">
        <f>IF(ISNUMBER(D18/B18),D18/B18," - ")</f>
        <v>0</v>
      </c>
      <c r="F18" s="451">
        <f>IF(ISNUMBER(Datos!N18),Datos!N18," - ")</f>
        <v>12</v>
      </c>
      <c r="G18" s="452">
        <f>IF(ISNUMBER(F18/B18),F18/B18," - ")</f>
        <v>12</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2</v>
      </c>
      <c r="C23" s="1148">
        <f>Datos!AR23</f>
        <v>1</v>
      </c>
      <c r="D23" s="1146">
        <f>SUBTOTAL(9,D16:D22)</f>
        <v>34</v>
      </c>
      <c r="E23" s="1147">
        <f t="shared" si="3"/>
        <v>17</v>
      </c>
      <c r="F23" s="1146">
        <f>SUBTOTAL(9,F16:F22)</f>
        <v>177</v>
      </c>
      <c r="G23" s="1147">
        <f t="shared" si="4"/>
        <v>88.5</v>
      </c>
      <c r="H23" s="1146">
        <f>SUBTOTAL(9,H16:H22)</f>
        <v>0</v>
      </c>
      <c r="I23" s="1147">
        <f>IF(ISNUMBER(H23/B23),H23/B23," - ")</f>
        <v>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v>
      </c>
      <c r="C31" s="1084">
        <f>Datos!AR31</f>
        <v>1</v>
      </c>
      <c r="D31" s="1084">
        <f>SUBTOTAL(9,D8:D30)</f>
        <v>73</v>
      </c>
      <c r="E31" s="1085">
        <f>IF(ISNUMBER(D31/B31),D31/B31," - ")</f>
        <v>73</v>
      </c>
      <c r="F31" s="1084">
        <f>SUBTOTAL(9,F8:F30)</f>
        <v>256</v>
      </c>
      <c r="G31" s="1085">
        <f>IF(ISNUMBER(F31/B31),F31/B31," - ")</f>
        <v>256</v>
      </c>
      <c r="H31" s="1084">
        <f>SUBTOTAL(9,H8:H30)</f>
        <v>15</v>
      </c>
      <c r="I31" s="1085">
        <f>IF(ISNUMBER(H31/B31),H31/B31," - ")</f>
        <v>15</v>
      </c>
    </row>
    <row r="34" spans="1:1">
      <c r="A34" s="439" t="str">
        <f>Criterios!A4</f>
        <v>Fecha Informe: 06 may. 2023</v>
      </c>
    </row>
    <row r="39" spans="1:1">
      <c r="A39" s="462"/>
    </row>
  </sheetData>
  <sheetProtection algorithmName="SHA-512" hashValue="AfptdLAAYAdhi2nVOdJsrOXMdVXiARSzX72MLZSKDGrN+Lofiv7axBPA+Lx03acDoASULDAebZ30VeUKzpyswQ==" saltValue="m87wSXpxGYGOMrsDYvcs0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ASTURIAS</v>
      </c>
    </row>
    <row r="3" spans="1:4" ht="19.5">
      <c r="A3" s="484" t="s">
        <v>48</v>
      </c>
      <c r="B3" s="439" t="str">
        <f>Criterios!A10 &amp;"  "&amp;Criterios!B10</f>
        <v>Provincias  ASTURIAS</v>
      </c>
    </row>
    <row r="4" spans="1:4" ht="13.5" thickBot="1">
      <c r="B4" s="439" t="str">
        <f>Criterios!A11 &amp;"  "&amp;Criterios!B11</f>
        <v>Resumenes por Partidos Judiciales  VALDES</v>
      </c>
    </row>
    <row r="5" spans="1:4" ht="12.75" customHeight="1">
      <c r="A5" s="1591" t="str">
        <f>"Año:  " &amp;Criterios!B5 &amp; "                  Trimestre   " &amp;Criterios!D5 &amp; " al " &amp;Criterios!D6</f>
        <v>Año:  2022                  Trimestre   4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28</v>
      </c>
      <c r="C12" s="489">
        <f>IF(ISNUMBER(Datos!Q12),Datos!Q12," - ")</f>
        <v>28</v>
      </c>
      <c r="D12" s="456">
        <f>IF(ISNUMBER(Datos!R12),Datos!R12," - ")</f>
        <v>443</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28</v>
      </c>
      <c r="C14" s="1150">
        <f>SUBTOTAL(9,C9:C13)</f>
        <v>28</v>
      </c>
      <c r="D14" s="1148">
        <f>SUBTOTAL(9,D9:D13)</f>
        <v>443</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9</v>
      </c>
      <c r="C17" s="489">
        <f>IF(ISNUMBER(Datos!Q17),Datos!Q17," - ")</f>
        <v>3</v>
      </c>
      <c r="D17" s="456">
        <f>IF(ISNUMBER(Datos!R17),Datos!R17," - ")</f>
        <v>27</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9</v>
      </c>
      <c r="C23" s="1150">
        <f>SUBTOTAL(9,C16:C22)</f>
        <v>3</v>
      </c>
      <c r="D23" s="1148">
        <f>SUBTOTAL(9,D16:D22)</f>
        <v>27</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37</v>
      </c>
      <c r="C31" s="1089">
        <f>SUBTOTAL(9,C8:C30)</f>
        <v>31</v>
      </c>
      <c r="D31" s="1090">
        <f>SUBTOTAL(9,D8:D30)</f>
        <v>470</v>
      </c>
    </row>
    <row r="32" spans="1:4" ht="7.5" customHeight="1"/>
    <row r="33" spans="1:1" ht="6" customHeight="1"/>
    <row r="34" spans="1:1">
      <c r="A34" s="439" t="str">
        <f>Criterios!A4</f>
        <v>Fecha Informe: 06 may. 2023</v>
      </c>
    </row>
    <row r="39" spans="1:1">
      <c r="A39" s="462"/>
    </row>
  </sheetData>
  <sheetProtection algorithmName="SHA-512" hashValue="1REPN+bGcAHk9TIMQa2U3nACjqoCoJMQOiLKVYs4eQyX5HCJYda+mtkPX/b0FQ61nV8H/ZRHR+SUpK4nsrmrNw==" saltValue="t2Snle2vNY0+gc5tm2Wfo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ASTURIAS</v>
      </c>
    </row>
    <row r="3" spans="1:11" ht="18.75" customHeight="1">
      <c r="A3" s="484" t="s">
        <v>162</v>
      </c>
      <c r="B3" s="439" t="str">
        <f>Criterios!A10 &amp;"  "&amp;Criterios!B10</f>
        <v>Provincias  ASTURIAS</v>
      </c>
    </row>
    <row r="4" spans="1:11" ht="10.5" customHeight="1" thickBot="1">
      <c r="B4" s="439" t="str">
        <f>Criterios!A11 &amp;"  "&amp;Criterios!B11</f>
        <v>Resumenes por Partidos Judiciales  VALDES</v>
      </c>
    </row>
    <row r="5" spans="1:11" ht="12.75" customHeight="1">
      <c r="A5" s="1591" t="str">
        <f>"Año:  " &amp;Criterios!B5 &amp; "    Trimestre   " &amp;Criterios!D5 &amp; " al " &amp;Criterios!D6</f>
        <v>Año:  2022    Trimestre   4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-0.6</v>
      </c>
      <c r="C10" s="515" t="str">
        <f>IF(ISNUMBER((Datos!J10-Datos!T10)/Datos!T10),(Datos!J10-Datos!T10)/Datos!T10," - ")</f>
        <v xml:space="preserve"> - </v>
      </c>
      <c r="D10" s="515">
        <f>IF(ISNUMBER((Datos!K10-Datos!U10)/Datos!U10),(Datos!K10-Datos!U10)/Datos!U10," - ")</f>
        <v>-1</v>
      </c>
      <c r="E10" s="515">
        <f>IF(ISNUMBER((Datos!L10-Datos!V10)/Datos!V10),(Datos!L10-Datos!V10)/Datos!V10," - ")</f>
        <v>0.5</v>
      </c>
      <c r="F10" s="515">
        <f>IF(ISNUMBER((Datos!M10-Datos!W10)/Datos!W10),(Datos!M10-Datos!W10)/Datos!W10," - ")</f>
        <v>-1</v>
      </c>
      <c r="G10" s="516" t="str">
        <f>IF(ISNUMBER((Datos!N10-Datos!X10)/Datos!X10),(Datos!N10-Datos!X10)/Datos!X10," - ")</f>
        <v xml:space="preserve"> - </v>
      </c>
      <c r="H10" s="514" t="str">
        <f>IF(ISNUMBER(((NºAsuntos!G10/NºAsuntos!E10)-Datos!BD10)/Datos!BD10),((NºAsuntos!G10/NºAsuntos!E10)-Datos!BD10)/Datos!BD10," - ")</f>
        <v xml:space="preserve"> - </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0.41141141141141141</v>
      </c>
      <c r="C12" s="515">
        <f>IF(ISNUMBER(
   IF(J_V="SI",(Datos!J12-Datos!T12)/Datos!T12,(Datos!J12+Datos!Z12-(Datos!T12+Datos!AH12))/(Datos!T12+Datos!AH12))
     ),IF(J_V="SI",(Datos!J12-Datos!T12)/Datos!T12,(Datos!J12+Datos!Z12-(Datos!T12+Datos!AH12))/(Datos!T12+Datos!AH12))," - ")</f>
        <v>-9.3457943925233641E-2</v>
      </c>
      <c r="D12" s="515">
        <f>IF(ISNUMBER(
   IF(J_V="SI",(Datos!K12-Datos!U12)/Datos!U12,(Datos!K12+Datos!AA12-(Datos!U12+Datos!AI12))/(Datos!U12+Datos!AI12))
     ),IF(J_V="SI",(Datos!K12-Datos!U12)/Datos!U12,(Datos!K12+Datos!AA12-(Datos!U12+Datos!AI12))/(Datos!U12+Datos!AI12))," - ")</f>
        <v>7.0063694267515922E-2</v>
      </c>
      <c r="E12" s="515">
        <f>IF(ISNUMBER(
   IF(J_V="SI",(Datos!L12-Datos!V12)/Datos!V12,(Datos!L12+Datos!AB12-(Datos!V12+Datos!AJ12))/(Datos!V12+Datos!AJ12))
     ),IF(J_V="SI",(Datos!L12-Datos!V12)/Datos!V12,(Datos!L12+Datos!AB12-(Datos!V12+Datos!AJ12))/(Datos!V12+Datos!AJ12))," - ")</f>
        <v>0.27179487179487177</v>
      </c>
      <c r="F12" s="515">
        <f>IF(ISNUMBER((Datos!M12-Datos!W12)/Datos!W12),(Datos!M12-Datos!W12)/Datos!W12," - ")</f>
        <v>-0.30357142857142855</v>
      </c>
      <c r="G12" s="516">
        <f>IF(ISNUMBER((Datos!N12-Datos!X12)/Datos!X12),(Datos!N12-Datos!X12)/Datos!X12," - ")</f>
        <v>0.5490196078431373</v>
      </c>
      <c r="H12" s="514">
        <f>IF(ISNUMBER(((NºAsuntos!G12/NºAsuntos!E12)-Datos!BD12)/Datos!BD12),((NºAsuntos!G12/NºAsuntos!E12)-Datos!BD12)/Datos!BD12," - ")</f>
        <v>0.18037953903736292</v>
      </c>
      <c r="I12" s="515">
        <f>IF(ISNUMBER(((NºAsuntos!I12/NºAsuntos!G12)-Datos!BE12)/Datos!BE12),((NºAsuntos!I12/NºAsuntos!G12)-Datos!BE12)/Datos!BE12," - ")</f>
        <v>0.18852258852258863</v>
      </c>
      <c r="J12" s="521">
        <f>IF(ISNUMBER((('Resol  Asuntos'!D12/NºAsuntos!G12)-Datos!BF12)/Datos!BF12),(('Resol  Asuntos'!D12/NºAsuntos!G12)-Datos!BF12)/Datos!BF12," - ")</f>
        <v>-0.28536414565826324</v>
      </c>
      <c r="K12" s="522">
        <f>IF(ISNUMBER((((NºAsuntos!C12+NºAsuntos!E12)/NºAsuntos!G12)-Datos!BG12)/Datos!BG12),(((NºAsuntos!C12+NºAsuntos!E12)/NºAsuntos!G12)-Datos!BG12)/Datos!BG12," - ")</f>
        <v>0.13441281448594072</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0.39644970414201186</v>
      </c>
      <c r="C14" s="1152">
        <f>IF(ISNUMBER(
   IF(J_V="SI",(Datos!J14-Datos!T14)/Datos!T14,(Datos!J14+Datos!Z14-(Datos!T14+Datos!AH14))/(Datos!T14+Datos!AH14))
     ),IF(J_V="SI",(Datos!J14-Datos!T14)/Datos!T14,(Datos!J14+Datos!Z14-(Datos!T14+Datos!AH14))/(Datos!T14+Datos!AH14))," - ")</f>
        <v>-8.8785046728971959E-2</v>
      </c>
      <c r="D14" s="1152">
        <f>IF(ISNUMBER(
   IF(J_V="SI",(Datos!K14-Datos!U14)/Datos!U14,(Datos!K14+Datos!AA14-(Datos!U14+Datos!AI14))/(Datos!U14+Datos!AI14))
     ),IF(J_V="SI",(Datos!K14-Datos!U14)/Datos!U14,(Datos!K14+Datos!AA14-(Datos!U14+Datos!AI14))/(Datos!U14+Datos!AI14))," - ")</f>
        <v>0.05</v>
      </c>
      <c r="E14" s="1152">
        <f>IF(ISNUMBER(
   IF(J_V="SI",(Datos!L14-Datos!V14)/Datos!V14,(Datos!L14+Datos!AB14-(Datos!V14+Datos!AJ14))/(Datos!V14+Datos!AJ14))
     ),IF(J_V="SI",(Datos!L14-Datos!V14)/Datos!V14,(Datos!L14+Datos!AB14-(Datos!V14+Datos!AJ14))/(Datos!V14+Datos!AJ14))," - ")</f>
        <v>0.27295918367346939</v>
      </c>
      <c r="F14" s="1153">
        <f>IF(ISNUMBER((Datos!M14-Datos!W14)/Datos!W14),(Datos!M14-Datos!W14)/Datos!W14," - ")</f>
        <v>-0.32758620689655171</v>
      </c>
      <c r="G14" s="1154">
        <f>IF(ISNUMBER((Datos!N14-Datos!X14)/Datos!X14),(Datos!N14-Datos!X14)/Datos!X14," - ")</f>
        <v>0.5490196078431373</v>
      </c>
      <c r="H14" s="1154">
        <f>IF(ISNUMBER(((NºAsuntos!G14/NºAsuntos!E14)-Datos!BD14)/Datos!BD14),((NºAsuntos!G14/NºAsuntos!E14)-Datos!BD14)/Datos!BD14," - ")</f>
        <v>0.15230769230769242</v>
      </c>
      <c r="I14" s="1154">
        <f>IF(ISNUMBER(((NºAsuntos!I14/NºAsuntos!G14)-Datos!BE14)/Datos!BE14),((NºAsuntos!I14/NºAsuntos!G14)-Datos!BE14)/Datos!BE14," - ")</f>
        <v>0.21234207968901841</v>
      </c>
      <c r="J14" s="1154">
        <f>IF(ISNUMBER((('Resol  Asuntos'!D14/NºAsuntos!G14)-Datos!BF14)/Datos!BF14),(('Resol  Asuntos'!D14/NºAsuntos!G14)-Datos!BF14)/Datos!BF14," - ")</f>
        <v>-0.29919137466307272</v>
      </c>
      <c r="K14" s="1154">
        <f>IF(ISNUMBER((((NºAsuntos!C14+NºAsuntos!E14)/NºAsuntos!G14)-Datos!BG14)/Datos!BG14),(((NºAsuntos!C14+NºAsuntos!E14)/NºAsuntos!G14)-Datos!BG14)/Datos!BG14," - ")</f>
        <v>0.15079365079365076</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5.8479532163742687E-2</v>
      </c>
      <c r="C17" s="515">
        <f>IF(ISNUMBER(
   IF(D_I="SI",(Datos!J17-Datos!T17)/Datos!T17,(Datos!J17+Datos!AD17-(Datos!T17+Datos!AL17))/(Datos!T17+Datos!AL17))
     ),IF(D_I="SI",(Datos!J17-Datos!T17)/Datos!T17,(Datos!J17+Datos!AD17-(Datos!T17+Datos!AL17))/(Datos!T17+Datos!AL17))," - ")</f>
        <v>-6.1611374407582936E-2</v>
      </c>
      <c r="D17" s="515">
        <f>IF(ISNUMBER(
   IF(D_I="SI",(Datos!K17-Datos!U17)/Datos!U17,(Datos!K17+Datos!AE17-(Datos!U17+Datos!AM17))/(Datos!U17+Datos!AM17))
     ),IF(D_I="SI",(Datos!K17-Datos!U17)/Datos!U17,(Datos!K17+Datos!AE17-(Datos!U17+Datos!AM17))/(Datos!U17+Datos!AM17))," - ")</f>
        <v>0.28723404255319152</v>
      </c>
      <c r="E17" s="515">
        <f>IF(ISNUMBER(
   IF(D_I="SI",(Datos!L17-Datos!V17)/Datos!V17,(Datos!L17+Datos!AF17-(Datos!V17+Datos!AN17))/(Datos!V17+Datos!AN17))
     ),IF(D_I="SI",(Datos!L17-Datos!V17)/Datos!V17,(Datos!L17+Datos!AF17-(Datos!V17+Datos!AN17))/(Datos!V17+Datos!AN17))," - ")</f>
        <v>-0.13114754098360656</v>
      </c>
      <c r="F17" s="515">
        <f>IF(ISNUMBER((Datos!M17-Datos!W17)/Datos!W17),(Datos!M17-Datos!W17)/Datos!W17," - ")</f>
        <v>-0.12820512820512819</v>
      </c>
      <c r="G17" s="516">
        <f>IF(ISNUMBER((Datos!N17-Datos!X17)/Datos!X17),(Datos!N17-Datos!X17)/Datos!X17," - ")</f>
        <v>0.68367346938775508</v>
      </c>
      <c r="H17" s="514">
        <f>IF(ISNUMBER(((NºAsuntos!G17/NºAsuntos!E17)-Datos!BD17)/Datos!BD17),((NºAsuntos!G17/NºAsuntos!E17)-Datos!BD17)/Datos!BD17," - ")</f>
        <v>0.37174940898345166</v>
      </c>
      <c r="I17" s="515">
        <f>IF(ISNUMBER(((NºAsuntos!I17/NºAsuntos!G17)-Datos!BE17)/Datos!BE17),((NºAsuntos!I17/NºAsuntos!G17)-Datos!BE17)/Datos!BE17," - ")</f>
        <v>-0.3250237095244547</v>
      </c>
      <c r="J17" s="521">
        <f>IF(ISNUMBER((('Resol  Asuntos'!D17/NºAsuntos!G17)-Datos!BF17)/Datos!BF17),(('Resol  Asuntos'!D17/NºAsuntos!G17)-Datos!BF17)/Datos!BF17," - ")</f>
        <v>-0.32273786819241362</v>
      </c>
      <c r="K17" s="522">
        <f>IF(ISNUMBER((((NºAsuntos!C17+NºAsuntos!E17)/NºAsuntos!G17)-Datos!BG17)/Datos!BG17),(((NºAsuntos!C17+NºAsuntos!E17)/NºAsuntos!G17)-Datos!BG17)/Datos!BG17," - ")</f>
        <v>-0.21330683125849989</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-0.27586206896551724</v>
      </c>
      <c r="C18" s="515">
        <f>IF(ISNUMBER(
   IF(D_I="SI",(Datos!J18-Datos!T18)/Datos!T18,(Datos!J18+Datos!AD18-(Datos!T18+Datos!AL18))/(Datos!T18+Datos!AL18))
     ),IF(D_I="SI",(Datos!J18-Datos!T18)/Datos!T18,(Datos!J18+Datos!AD18-(Datos!T18+Datos!AL18))/(Datos!T18+Datos!AL18))," - ")</f>
        <v>-0.5</v>
      </c>
      <c r="D18" s="515">
        <f>IF(ISNUMBER(
   IF(D_I="SI",(Datos!K18-Datos!U18)/Datos!U18,(Datos!K18+Datos!AE18-(Datos!U18+Datos!AM18))/(Datos!U18+Datos!AM18))
     ),IF(D_I="SI",(Datos!K18-Datos!U18)/Datos!U18,(Datos!K18+Datos!AE18-(Datos!U18+Datos!AM18))/(Datos!U18+Datos!AM18))," - ")</f>
        <v>-0.7</v>
      </c>
      <c r="E18" s="515">
        <f>IF(ISNUMBER(
   IF(D_I="SI",(Datos!L18-Datos!V18)/Datos!V18,(Datos!L18+Datos!AF18-(Datos!V18+Datos!AN18))/(Datos!V18+Datos!AN18))
     ),IF(D_I="SI",(Datos!L18-Datos!V18)/Datos!V18,(Datos!L18+Datos!AF18-(Datos!V18+Datos!AN18))/(Datos!V18+Datos!AN18))," - ")</f>
        <v>0</v>
      </c>
      <c r="F18" s="515">
        <f>IF(ISNUMBER((Datos!M18-Datos!W18)/Datos!W18),(Datos!M18-Datos!W18)/Datos!W18," - ")</f>
        <v>-1</v>
      </c>
      <c r="G18" s="516">
        <f>IF(ISNUMBER((Datos!N18-Datos!X18)/Datos!X18),(Datos!N18-Datos!X18)/Datos!X18," - ")</f>
        <v>0.7142857142857143</v>
      </c>
      <c r="H18" s="514">
        <f>IF(ISNUMBER(((NºAsuntos!G18/NºAsuntos!E18)-Datos!BD18)/Datos!BD18),((NºAsuntos!G18/NºAsuntos!E18)-Datos!BD18)/Datos!BD18," - ")</f>
        <v>-0.4</v>
      </c>
      <c r="I18" s="515">
        <f>IF(ISNUMBER(((NºAsuntos!I18/NºAsuntos!G18)-Datos!BE18)/Datos!BE18),((NºAsuntos!I18/NºAsuntos!G18)-Datos!BE18)/Datos!BE18," - ")</f>
        <v>2.3333333333333335</v>
      </c>
      <c r="J18" s="521">
        <f>IF(ISNUMBER((('Resol  Asuntos'!D18/NºAsuntos!G18)-Datos!BF18)/Datos!BF18),(('Resol  Asuntos'!D18/NºAsuntos!G18)-Datos!BF18)/Datos!BF18," - ")</f>
        <v>-1</v>
      </c>
      <c r="K18" s="522">
        <f>IF(ISNUMBER((((NºAsuntos!C18+NºAsuntos!E18)/NºAsuntos!G18)-Datos!BG18)/Datos!BG18),(((NºAsuntos!C18+NºAsuntos!E18)/NºAsuntos!G18)-Datos!BG18)/Datos!BG18," - ")</f>
        <v>1.1951219512195124</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3.2345013477088951E-2</v>
      </c>
      <c r="C23" s="1152">
        <f>IF(ISNUMBER(
   IF(Criterios!B14="SI",(Datos!J23-Datos!T23)/Datos!T23,(Datos!J23+Datos!AD23-(Datos!T23+Datos!AL23))/(Datos!T23+Datos!AL23))
     ),IF(Criterios!B14="SI",(Datos!J23-Datos!T23)/Datos!T23,(Datos!J23+Datos!AD23-(Datos!T23+Datos!AL23))/(Datos!T23+Datos!AL23))," - ")</f>
        <v>-8.520179372197309E-2</v>
      </c>
      <c r="D23" s="1152">
        <f>IF(ISNUMBER(
   IF(Criterios!B14="SI",(Datos!K23-Datos!U23)/Datos!U23,(Datos!K23+Datos!AE23-(Datos!U23+Datos!AM23))/(Datos!U23+Datos!AM23))
     ),IF(Criterios!B14="SI",(Datos!K23-Datos!U23)/Datos!U23,(Datos!K23+Datos!AE23-(Datos!U23+Datos!AM23))/(Datos!U23+Datos!AM23))," - ")</f>
        <v>0.19230769230769232</v>
      </c>
      <c r="E23" s="1152">
        <f>IF(ISNUMBER(
   IF(Criterios!B14="SI",(Datos!L23-Datos!V23)/Datos!V23,(Datos!L23+Datos!AF23-(Datos!V23+Datos!AN23))/(Datos!V23+Datos!AN23))
     ),IF(Criterios!B14="SI",(Datos!L23-Datos!V23)/Datos!V23,(Datos!L23+Datos!AF23-(Datos!V23+Datos!AN23))/(Datos!V23+Datos!AN23))," - ")</f>
        <v>-0.12403100775193798</v>
      </c>
      <c r="F23" s="1153">
        <f>IF(ISNUMBER((Datos!M23-Datos!W23)/Datos!W23),(Datos!M23-Datos!W23)/Datos!W23," - ")</f>
        <v>-0.22727272727272727</v>
      </c>
      <c r="G23" s="1154">
        <f>IF(ISNUMBER((Datos!N23-Datos!X23)/Datos!X23),(Datos!N23-Datos!X23)/Datos!X23," - ")</f>
        <v>0.68571428571428572</v>
      </c>
      <c r="H23" s="1154">
        <f>IF(ISNUMBER(((NºAsuntos!G23/NºAsuntos!E23)-Datos!BD23)/Datos!BD23),((NºAsuntos!G23/NºAsuntos!E23)-Datos!BD23)/Datos!BD23," - ")</f>
        <v>0.30335595776772234</v>
      </c>
      <c r="I23" s="1154">
        <f>IF(ISNUMBER(((NºAsuntos!I23/NºAsuntos!G23)-Datos!BE23)/Datos!BE23),((NºAsuntos!I23/NºAsuntos!G23)-Datos!BE23)/Datos!BE23," - ")</f>
        <v>-0.2653163290822706</v>
      </c>
      <c r="J23" s="1154">
        <f>IF(ISNUMBER((('Resol  Asuntos'!D23/NºAsuntos!G23)-Datos!BF23)/Datos!BF23),(('Resol  Asuntos'!D23/NºAsuntos!G23)-Datos!BF23)/Datos!BF23," - ")</f>
        <v>-0.35190615835777128</v>
      </c>
      <c r="K23" s="1154">
        <f>IF(ISNUMBER((((NºAsuntos!C23+NºAsuntos!E23)/NºAsuntos!G23)-Datos!BG23)/Datos!BG23),(((NºAsuntos!C23+NºAsuntos!E23)/NºAsuntos!G23)-Datos!BG23)/Datos!BG23," - ")</f>
        <v>-0.17117410665797772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0.20592383638928069</v>
      </c>
      <c r="C31" s="1092">
        <f>IF(ISNUMBER(
   IF(J_V="SI",(Datos!J31-Datos!T31)/Datos!T31,(Datos!J31+Datos!Z31-(Datos!T31+Datos!AH31))/(Datos!T31+Datos!AH31))
     ),IF(J_V="SI",(Datos!J31-Datos!T31)/Datos!T31,(Datos!J31+Datos!Z31-(Datos!T31+Datos!AH31))/(Datos!T31+Datos!AH31))," - ")</f>
        <v>-8.6956521739130432E-2</v>
      </c>
      <c r="D31" s="1092">
        <f>IF(ISNUMBER(
   IF(J_V="SI",(Datos!K31-Datos!U31)/Datos!U31,(Datos!K31+Datos!AA31-(Datos!U31+Datos!AI31))/(Datos!U31+Datos!AI31))
     ),IF(J_V="SI",(Datos!K31-Datos!U31)/Datos!U31,(Datos!K31+Datos!AA31-(Datos!U31+Datos!AI31))/(Datos!U31+Datos!AI31))," - ")</f>
        <v>0.13043478260869565</v>
      </c>
      <c r="E31" s="1092">
        <f>IF(ISNUMBER(
   IF(J_V="SI",(Datos!L31-Datos!V31)/Datos!V31,(Datos!L31+Datos!AB31-(Datos!V31+Datos!AJ31))/(Datos!V31+Datos!AJ31))
     ),IF(J_V="SI",(Datos!L31-Datos!V31)/Datos!V31,(Datos!L31+Datos!AB31-(Datos!V31+Datos!AJ31))/(Datos!V31+Datos!AJ31))," - ")</f>
        <v>7.5738125802310652E-2</v>
      </c>
      <c r="F31" s="1093">
        <f>IF(ISNUMBER((Datos!M31-Datos!W31)/Datos!W31),(Datos!M31-Datos!W31)/Datos!W31," - ")</f>
        <v>-0.28431372549019607</v>
      </c>
      <c r="G31" s="1094">
        <f>IF(ISNUMBER((Datos!N31-Datos!X31)/Datos!X31),(Datos!N31-Datos!X31)/Datos!X31," - ")</f>
        <v>0.64102564102564108</v>
      </c>
      <c r="H31" s="1095">
        <f>IF(ISNUMBER((Tasas!B31-Datos!BD31)/Datos!BD31),(Tasas!B31-Datos!BD31)/Datos!BD31," - ")</f>
        <v>0.23809523809523808</v>
      </c>
      <c r="I31" s="1096">
        <f>IF(ISNUMBER((Tasas!C31-Datos!BE31)/Datos!BE31),(Tasas!C31-Datos!BE31)/Datos!BE31," - ")</f>
        <v>-4.8385504097955889E-2</v>
      </c>
      <c r="J31" s="1097">
        <f>IF(ISNUMBER((Tasas!D31-Datos!BF31)/Datos!BF31),(Tasas!D31-Datos!BF31)/Datos!BF31," - ")</f>
        <v>-0.3342585249801745</v>
      </c>
      <c r="K31" s="1097">
        <f>IF(ISNUMBER((Tasas!E31-Datos!BG31)/Datos!BG31),(Tasas!E31-Datos!BG31)/Datos!BG31," - ")</f>
        <v>-3.2017720499395892E-2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LqMSXThvg+gY3w77KbHIzuzKWPKkXIhsfki/PJcuRbx8eDbd1KLdxRGNRpgZq74e7qquEyENXji6+6B55PEIXQ==" saltValue="FS8uvJK3KtQ6UFUzT+CZ2Q=="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ASTURIAS</v>
      </c>
    </row>
    <row r="3" spans="1:7" ht="19.5">
      <c r="A3" s="491" t="s">
        <v>17</v>
      </c>
      <c r="B3" s="439" t="str">
        <f>Criterios!A10 &amp;"  "&amp;Criterios!B10</f>
        <v>Provincias  ASTURIAS</v>
      </c>
    </row>
    <row r="4" spans="1:7" ht="11.25" customHeight="1" thickBot="1">
      <c r="B4" s="439" t="str">
        <f>Criterios!A11 &amp;"  "&amp;Criterios!B11</f>
        <v>Resumenes por Partidos Judiciales  VALDES</v>
      </c>
    </row>
    <row r="5" spans="1:7" ht="12.75" customHeight="1">
      <c r="A5" s="1591" t="str">
        <f>"Año:  " &amp;Criterios!B5 &amp; "    Trimestre   " &amp;Criterios!D5 &amp; " al " &amp;Criterios!D6</f>
        <v>Año:  2022    Trimestre   4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0</v>
      </c>
      <c r="C10" s="498" t="str">
        <f>IF(ISNUMBER(NºAsuntos!I10/NºAsuntos!G10),NºAsuntos!I10/NºAsuntos!G10," - ")</f>
        <v xml:space="preserve"> - </v>
      </c>
      <c r="D10" s="499" t="str">
        <f>IF(ISNUMBER('Resol  Asuntos'!D10/NºAsuntos!G10),'Resol  Asuntos'!D10/NºAsuntos!G10," - ")</f>
        <v xml:space="preserve"> - </v>
      </c>
      <c r="E10" s="500" t="str">
        <f>IF(ISNUMBER((NºAsuntos!C10+NºAsuntos!E10)/NºAsuntos!G10),(NºAsuntos!C10+NºAsuntos!E10)/NºAsuntos!G10," - ")</f>
        <v xml:space="preserve"> - </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0.865979381443299</v>
      </c>
      <c r="C12" s="498">
        <f>IF(ISNUMBER(NºAsuntos!I12/NºAsuntos!G12),NºAsuntos!I12/NºAsuntos!G12," - ")</f>
        <v>2.9523809523809526</v>
      </c>
      <c r="D12" s="499">
        <f>IF(ISNUMBER('Resol  Asuntos'!D12/NºAsuntos!G12),'Resol  Asuntos'!D12/NºAsuntos!G12," - ")</f>
        <v>0.23214285714285715</v>
      </c>
      <c r="E12" s="500">
        <f>IF(ISNUMBER((NºAsuntos!C12+NºAsuntos!E12)/NºAsuntos!G12),(NºAsuntos!C12+NºAsuntos!E12)/NºAsuntos!G12," - ")</f>
        <v>3.9523809523809526</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0.86153846153846159</v>
      </c>
      <c r="C14" s="1156">
        <f>IF(ISNUMBER(NºAsuntos!I14/NºAsuntos!G14),NºAsuntos!I14/NºAsuntos!G14," - ")</f>
        <v>2.9702380952380953</v>
      </c>
      <c r="D14" s="1157">
        <f>IF(ISNUMBER('Resol  Asuntos'!D14/NºAsuntos!G14),'Resol  Asuntos'!D14/NºAsuntos!G14," - ")</f>
        <v>0.23214285714285715</v>
      </c>
      <c r="E14" s="1158">
        <f>IF(ISNUMBER((NºAsuntos!C14+NºAsuntos!E14)/NºAsuntos!G14),(NºAsuntos!C14+NºAsuntos!E14)/NºAsuntos!G14," - ")</f>
        <v>3.9702380952380953</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1.2222222222222223</v>
      </c>
      <c r="C17" s="498">
        <f>IF(ISNUMBER(NºAsuntos!I17/NºAsuntos!G17),NºAsuntos!I17/NºAsuntos!G17," - ")</f>
        <v>1.3140495867768596</v>
      </c>
      <c r="D17" s="499">
        <f>IF(ISNUMBER('Resol  Asuntos'!D17/NºAsuntos!G17),'Resol  Asuntos'!D17/NºAsuntos!G17," - ")</f>
        <v>0.14049586776859505</v>
      </c>
      <c r="E17" s="500">
        <f>IF(ISNUMBER((NºAsuntos!C17+NºAsuntos!E17)/NºAsuntos!G17),(NºAsuntos!C17+NºAsuntos!E17)/NºAsuntos!G17," - ")</f>
        <v>2.3140495867768593</v>
      </c>
      <c r="G17" s="523"/>
    </row>
    <row r="18" spans="1:7">
      <c r="A18" s="450" t="str">
        <f>Datos!A18</f>
        <v>Jdos. Violencia contra la mujer</v>
      </c>
      <c r="B18" s="497">
        <f>IF(ISNUMBER(NºAsuntos!G18/NºAsuntos!E18),NºAsuntos!G18/NºAsuntos!E18," - ")</f>
        <v>1</v>
      </c>
      <c r="C18" s="498">
        <f>IF(ISNUMBER(NºAsuntos!I18/NºAsuntos!G18),NºAsuntos!I18/NºAsuntos!G18," - ")</f>
        <v>3.5</v>
      </c>
      <c r="D18" s="499">
        <f>IF(ISNUMBER('Resol  Asuntos'!D18/NºAsuntos!G18),'Resol  Asuntos'!D18/NºAsuntos!G18," - ")</f>
        <v>0</v>
      </c>
      <c r="E18" s="500">
        <f>IF(ISNUMBER((NºAsuntos!C18+NºAsuntos!E18)/NºAsuntos!G18),(NºAsuntos!C18+NºAsuntos!E18)/NºAsuntos!G18," - ")</f>
        <v>4.5</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1.2156862745098038</v>
      </c>
      <c r="C23" s="1156">
        <f>IF(ISNUMBER(NºAsuntos!I23/NºAsuntos!G23),NºAsuntos!I23/NºAsuntos!G23," - ")</f>
        <v>1.3669354838709677</v>
      </c>
      <c r="D23" s="1159">
        <f>IF(ISNUMBER('Resol  Asuntos'!D23/NºAsuntos!G23),'Resol  Asuntos'!D23/NºAsuntos!G23," - ")</f>
        <v>0.13709677419354838</v>
      </c>
      <c r="E23" s="1158">
        <f>IF(ISNUMBER((NºAsuntos!C23+NºAsuntos!E23)/NºAsuntos!G23),(NºAsuntos!C23+NºAsuntos!E23)/NºAsuntos!G23," - ")</f>
        <v>2.3669354838709675</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1.0426065162907268</v>
      </c>
      <c r="C31" s="1099">
        <f>IF(ISNUMBER(NºAsuntos!I31/NºAsuntos!G31),NºAsuntos!I31/NºAsuntos!G31," - ")</f>
        <v>2.0144230769230771</v>
      </c>
      <c r="D31" s="1100">
        <f>IF(ISNUMBER('Resol  Asuntos'!D31/NºAsuntos!G31),'Resol  Asuntos'!D31/NºAsuntos!G31," - ")</f>
        <v>0.17548076923076922</v>
      </c>
      <c r="E31" s="1101">
        <f>IF(ISNUMBER((NºAsuntos!C31+NºAsuntos!E31)/NºAsuntos!G31),(NºAsuntos!C31+NºAsuntos!E31)/NºAsuntos!G31," - ")</f>
        <v>3.0144230769230771</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xeXNeA6PaK6lxvAe2CBCnb3xEjsO2G7jZ2mqZ20Ibhx06la3xzwDWYLyDE0qRXhY0i5vEav7gT/dGP54TadLmw==" saltValue="jOmpnLb0yf69/LGt5OSpHg=="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ASTURIAS</v>
      </c>
      <c r="G2" s="369"/>
      <c r="H2" s="368"/>
      <c r="I2" s="368"/>
      <c r="J2" s="368"/>
      <c r="K2" s="368"/>
      <c r="L2" s="368" t="str">
        <f>Criterios!A10 &amp;"  "&amp;Criterios!B10</f>
        <v>Provincias  ASTURIAS</v>
      </c>
      <c r="N2" s="368" t="str">
        <f>Criterios!A11 &amp;"  "&amp;Criterios!B11</f>
        <v>Resumenes por Partidos Judiciales  VALDES</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4 al 4</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2</v>
      </c>
      <c r="G10" s="373">
        <f>IF(ISNUMBER(Datos!I10),Datos!I10," - ")</f>
        <v>2</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0</v>
      </c>
      <c r="X10" s="240">
        <f>IF(ISNUMBER(Datos!Q10),Datos!Q10," - ")</f>
        <v>0</v>
      </c>
      <c r="Y10" s="374">
        <f t="shared" ref="Y10:Y13" si="0">SUM(W10:X10)</f>
        <v>0</v>
      </c>
      <c r="Z10" s="375" t="str">
        <f>IF(ISNUMBER(Datos!CC10),Datos!CC10," - ")</f>
        <v xml:space="preserve"> - </v>
      </c>
      <c r="AA10" s="372">
        <f>IF(ISNUMBER(Datos!L10),Datos!L10,"-")</f>
        <v>3</v>
      </c>
      <c r="AB10" s="374">
        <f>IF(ISNUMBER(Datos!R10),Datos!R10," - ")</f>
        <v>0</v>
      </c>
      <c r="AC10" s="374">
        <f t="shared" ref="AC10:AC13" si="1">IF(ISNUMBER(AA10+AB10),AA10+AB10," - ")</f>
        <v>3</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f>IF(ISNUMBER(NºAsuntos!G10/NºAsuntos!E10),NºAsuntos!G10/NºAsuntos!E10," - ")</f>
        <v>0</v>
      </c>
      <c r="AM10" s="284" t="str">
        <f>IF(ISNUMBER(((NºAsuntos!I10/NºAsuntos!G10)*11)/factor_trimestre),((NºAsuntos!I10/NºAsuntos!G10)*11)/factor_trimestre," - ")</f>
        <v xml:space="preserve"> - </v>
      </c>
      <c r="AN10" s="267" t="str">
        <f>IF(ISNUMBER('Resol  Asuntos'!D10/NºAsuntos!G10),'Resol  Asuntos'!D10/NºAsuntos!G10," - ")</f>
        <v xml:space="preserve"> - </v>
      </c>
      <c r="AO10" s="268" t="str">
        <f>IF(ISNUMBER((NºAsuntos!C10+NºAsuntos!E10)/NºAsuntos!G10),(NºAsuntos!C10+NºAsuntos!E10)/NºAsuntos!G10," - ")</f>
        <v xml:space="preserve"> - </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1</v>
      </c>
      <c r="B12" s="300" t="s">
        <v>321</v>
      </c>
      <c r="C12" s="7" t="str">
        <f>Datos!A12</f>
        <v xml:space="preserve">Jdos. 1ª Instª. e Instr.                        </v>
      </c>
      <c r="D12" s="7"/>
      <c r="E12" s="1402">
        <f>IF(ISNUMBER(Datos!AQ12),Datos!AQ12," - ")</f>
        <v>1</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28</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28</v>
      </c>
      <c r="Y12" s="374">
        <f t="shared" si="0"/>
        <v>28</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443</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39</v>
      </c>
      <c r="AJ12" s="243" t="str">
        <f>IF(ISNUMBER(Datos!BW12),Datos!BW12," - ")</f>
        <v xml:space="preserve"> - </v>
      </c>
      <c r="AK12" s="242" t="str">
        <f>IF(ISNUMBER(Datos!BX12),Datos!BX12," - ")</f>
        <v xml:space="preserve"> - </v>
      </c>
      <c r="AL12" s="266">
        <f>IF(ISNUMBER(NºAsuntos!G12/NºAsuntos!E12),NºAsuntos!G12/NºAsuntos!E12," - ")</f>
        <v>0.865979381443299</v>
      </c>
      <c r="AM12" s="284">
        <f>IF(ISNUMBER(((NºAsuntos!I12/NºAsuntos!G12)*11)/factor_trimestre),((NºAsuntos!I12/NºAsuntos!G12)*11)/factor_trimestre," - ")</f>
        <v>8.8571428571428594</v>
      </c>
      <c r="AN12" s="267">
        <f>IF(ISNUMBER('Resol  Asuntos'!D12/NºAsuntos!G12),'Resol  Asuntos'!D12/NºAsuntos!G12," - ")</f>
        <v>0.23214285714285715</v>
      </c>
      <c r="AO12" s="268">
        <f>IF(ISNUMBER((NºAsuntos!C12+NºAsuntos!E12)/NºAsuntos!G12),(NºAsuntos!C12+NºAsuntos!E12)/NºAsuntos!G12," - ")</f>
        <v>3.9523809523809526</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v>
      </c>
      <c r="F14" s="1162">
        <f t="shared" si="5"/>
        <v>2</v>
      </c>
      <c r="G14" s="1163">
        <f t="shared" si="5"/>
        <v>2</v>
      </c>
      <c r="H14" s="1162">
        <f t="shared" si="5"/>
        <v>0</v>
      </c>
      <c r="I14" s="1164">
        <f t="shared" si="5"/>
        <v>0</v>
      </c>
      <c r="J14" s="1164">
        <f t="shared" si="5"/>
        <v>0</v>
      </c>
      <c r="K14" s="1164">
        <f t="shared" si="5"/>
        <v>0</v>
      </c>
      <c r="L14" s="1164">
        <f t="shared" si="5"/>
        <v>28</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0</v>
      </c>
      <c r="X14" s="1164">
        <f t="shared" si="6"/>
        <v>28</v>
      </c>
      <c r="Y14" s="1165">
        <f t="shared" si="6"/>
        <v>28</v>
      </c>
      <c r="Z14" s="1165">
        <f t="shared" si="6"/>
        <v>0</v>
      </c>
      <c r="AA14" s="1165">
        <f t="shared" si="6"/>
        <v>3</v>
      </c>
      <c r="AB14" s="1165">
        <f t="shared" si="6"/>
        <v>443</v>
      </c>
      <c r="AC14" s="1165">
        <f t="shared" si="6"/>
        <v>3</v>
      </c>
      <c r="AD14" s="1165">
        <f t="shared" si="6"/>
        <v>0</v>
      </c>
      <c r="AE14" s="1169">
        <f t="shared" si="6"/>
        <v>0</v>
      </c>
      <c r="AF14" s="1162">
        <f t="shared" si="6"/>
        <v>0</v>
      </c>
      <c r="AG14" s="1170">
        <f t="shared" si="6"/>
        <v>0</v>
      </c>
      <c r="AH14" s="1167">
        <f t="shared" si="6"/>
        <v>0</v>
      </c>
      <c r="AI14" s="1162">
        <f t="shared" si="6"/>
        <v>39</v>
      </c>
      <c r="AJ14" s="1164">
        <f t="shared" si="6"/>
        <v>0</v>
      </c>
      <c r="AK14" s="1167">
        <f>SUBTOTAL(9,AK9:AK13)</f>
        <v>0</v>
      </c>
      <c r="AL14" s="1171">
        <f>IF(ISNUMBER(NºAsuntos!G14/NºAsuntos!E14),NºAsuntos!G14/NºAsuntos!E14," - ")</f>
        <v>0.86153846153846159</v>
      </c>
      <c r="AM14" s="1171">
        <f>IF(ISNUMBER(((NºAsuntos!I14/NºAsuntos!G14)*11)/factor_trimestre),((NºAsuntos!I14/NºAsuntos!G14)*11)/factor_trimestre," - ")</f>
        <v>8.9107142857142865</v>
      </c>
      <c r="AN14" s="1172">
        <f>IF(ISNUMBER('Resol  Asuntos'!D14/NºAsuntos!G14),'Resol  Asuntos'!D14/NºAsuntos!G14," - ")</f>
        <v>0.23214285714285715</v>
      </c>
      <c r="AO14" s="1173">
        <f>IF(ISNUMBER((NºAsuntos!C14+NºAsuntos!E14)/NºAsuntos!G14),(NºAsuntos!C14+NºAsuntos!E14)/NºAsuntos!G14," - ")</f>
        <v>3.9702380952380953</v>
      </c>
      <c r="AP14" s="1174" t="str">
        <f t="shared" si="2"/>
        <v xml:space="preserve"> - </v>
      </c>
      <c r="AQ14" s="1174">
        <f>IF(ISNUMBER((H14-W14+K14)/(F14)),(H14-W14+K14)/(F14)," - ")</f>
        <v>0</v>
      </c>
      <c r="AR14" s="1175">
        <f>IF(ISNUMBER((Datos!P14-Datos!Q14)/(Datos!R14-Datos!P14+Datos!Q14)),(Datos!P14-Datos!Q14)/(Datos!R14-Datos!P14+Datos!Q14)," - ")</f>
        <v>0</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1</v>
      </c>
      <c r="B17" s="300" t="s">
        <v>511</v>
      </c>
      <c r="C17" s="173" t="str">
        <f>Datos!A17</f>
        <v xml:space="preserve">Jdos. 1ª Instª. e Instr.                        </v>
      </c>
      <c r="D17" s="173"/>
      <c r="E17" s="1402">
        <f>IF(ISNUMBER(Datos!AQ17),Datos!AQ17," - ")</f>
        <v>1</v>
      </c>
      <c r="F17" s="239">
        <f>IF(ISNUMBER(AA17+W17-Datos!J17-K17),AA17+W17-Datos!J17-K17," - ")</f>
        <v>362</v>
      </c>
      <c r="G17" s="373">
        <f>IF(ISNUMBER(IF(D_I="SI",Datos!I17,Datos!I17+Datos!AC17)),IF(D_I="SI",Datos!I17,Datos!I17+Datos!AC17)," - ")</f>
        <v>362</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9</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242</v>
      </c>
      <c r="X17" s="240">
        <f>IF(ISNUMBER(Datos!Q17),Datos!Q17," - ")</f>
        <v>3</v>
      </c>
      <c r="Y17" s="374">
        <f t="shared" ref="Y17:Y22" si="9">SUM(W17:X17)</f>
        <v>245</v>
      </c>
      <c r="Z17" s="375" t="str">
        <f>IF(ISNUMBER(Datos!CC17),Datos!CC17," - ")</f>
        <v xml:space="preserve"> - </v>
      </c>
      <c r="AA17" s="372">
        <f>IF(ISNUMBER(IF(D_I="SI",Datos!L17,Datos!L17+Datos!AF17)),IF(D_I="SI",Datos!L17,Datos!L17+Datos!AF17)," - ")</f>
        <v>318</v>
      </c>
      <c r="AB17" s="374">
        <f>IF(ISNUMBER(Datos!R17),Datos!R17," - ")</f>
        <v>27</v>
      </c>
      <c r="AC17" s="374">
        <f t="shared" si="8"/>
        <v>345</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34</v>
      </c>
      <c r="AJ17" s="245" t="str">
        <f>IF(ISNUMBER(Datos!BW17),Datos!BW17," - ")</f>
        <v xml:space="preserve"> - </v>
      </c>
      <c r="AK17" s="246" t="str">
        <f>IF(ISNUMBER(Datos!BX17),Datos!BX17," - ")</f>
        <v xml:space="preserve"> - </v>
      </c>
      <c r="AL17" s="266">
        <f>IF(ISNUMBER(NºAsuntos!G17/NºAsuntos!E17),NºAsuntos!G17/NºAsuntos!E17," - ")</f>
        <v>1.2222222222222223</v>
      </c>
      <c r="AM17" s="284">
        <f>IF(ISNUMBER(((NºAsuntos!I17/NºAsuntos!G17)*11)/factor_trimestre),((NºAsuntos!I17/NºAsuntos!G17)*11)/factor_trimestre," - ")</f>
        <v>3.9421487603305789</v>
      </c>
      <c r="AN17" s="267">
        <f>IF(ISNUMBER('Resol  Asuntos'!D17/NºAsuntos!G17),'Resol  Asuntos'!D17/NºAsuntos!G17," - ")</f>
        <v>0.14049586776859505</v>
      </c>
      <c r="AO17" s="268">
        <f>IF(ISNUMBER((NºAsuntos!C17+NºAsuntos!E17)/NºAsuntos!G17),(NºAsuntos!C17+NºAsuntos!E17)/NºAsuntos!G17," - ")</f>
        <v>2.3140495867768593</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21</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6</v>
      </c>
      <c r="X18" s="240">
        <f>IF(ISNUMBER(Datos!Q18),Datos!Q18," - ")</f>
        <v>0</v>
      </c>
      <c r="Y18" s="374">
        <f t="shared" si="9"/>
        <v>6</v>
      </c>
      <c r="Z18" s="375" t="str">
        <f>IF(ISNUMBER(Datos!CC18),Datos!CC18," - ")</f>
        <v xml:space="preserve"> - </v>
      </c>
      <c r="AA18" s="372">
        <f>IF(ISNUMBER(Datos!L18),Datos!L18,"-")</f>
        <v>21</v>
      </c>
      <c r="AB18" s="374">
        <f>IF(ISNUMBER(Datos!R18),Datos!R18," - ")</f>
        <v>0</v>
      </c>
      <c r="AC18" s="374">
        <f t="shared" si="8"/>
        <v>21</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0</v>
      </c>
      <c r="AJ18" s="245" t="str">
        <f>IF(ISNUMBER(Datos!BW18),Datos!BW18," - ")</f>
        <v xml:space="preserve"> - </v>
      </c>
      <c r="AK18" s="246" t="str">
        <f>IF(ISNUMBER(Datos!BX18),Datos!BX18," - ")</f>
        <v xml:space="preserve"> - </v>
      </c>
      <c r="AL18" s="266">
        <f>IF(ISNUMBER(NºAsuntos!G18/NºAsuntos!E18),NºAsuntos!G18/NºAsuntos!E18," - ")</f>
        <v>1</v>
      </c>
      <c r="AM18" s="284">
        <f>IF(ISNUMBER(((NºAsuntos!I18/NºAsuntos!G18)*11)/factor_trimestre),((NºAsuntos!I18/NºAsuntos!G18)*11)/factor_trimestre," - ")</f>
        <v>10.5</v>
      </c>
      <c r="AN18" s="267">
        <f>IF(ISNUMBER('Resol  Asuntos'!D18/NºAsuntos!G18),'Resol  Asuntos'!D18/NºAsuntos!G18," - ")</f>
        <v>0</v>
      </c>
      <c r="AO18" s="268">
        <f>IF(ISNUMBER((NºAsuntos!C18+NºAsuntos!E18)/NºAsuntos!G18),(NºAsuntos!C18+NºAsuntos!E18)/NºAsuntos!G18," - ")</f>
        <v>4.5</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v>
      </c>
      <c r="F23" s="1162">
        <f>SUBTOTAL(9,F15:F22)</f>
        <v>362</v>
      </c>
      <c r="G23" s="1163">
        <f>SUBTOTAL(9,G16:G22)</f>
        <v>383</v>
      </c>
      <c r="H23" s="1162">
        <f t="shared" ref="H23:O23" si="13">SUBTOTAL(9,H15:H22)</f>
        <v>0</v>
      </c>
      <c r="I23" s="1164">
        <f t="shared" si="13"/>
        <v>0</v>
      </c>
      <c r="J23" s="1164">
        <f t="shared" si="13"/>
        <v>0</v>
      </c>
      <c r="K23" s="1164">
        <f t="shared" si="13"/>
        <v>0</v>
      </c>
      <c r="L23" s="1164">
        <f t="shared" si="13"/>
        <v>9</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248</v>
      </c>
      <c r="X23" s="1164">
        <f t="shared" si="14"/>
        <v>3</v>
      </c>
      <c r="Y23" s="1165">
        <f t="shared" si="14"/>
        <v>251</v>
      </c>
      <c r="Z23" s="1165">
        <f t="shared" si="14"/>
        <v>0</v>
      </c>
      <c r="AA23" s="1165">
        <f t="shared" si="14"/>
        <v>339</v>
      </c>
      <c r="AB23" s="1165">
        <f t="shared" si="14"/>
        <v>27</v>
      </c>
      <c r="AC23" s="1165">
        <f t="shared" si="14"/>
        <v>366</v>
      </c>
      <c r="AD23" s="1165">
        <f t="shared" si="14"/>
        <v>0</v>
      </c>
      <c r="AE23" s="1169">
        <f t="shared" si="14"/>
        <v>0</v>
      </c>
      <c r="AF23" s="1162">
        <f t="shared" si="14"/>
        <v>0</v>
      </c>
      <c r="AG23" s="1170">
        <f t="shared" si="14"/>
        <v>0</v>
      </c>
      <c r="AH23" s="1167">
        <f t="shared" si="14"/>
        <v>0</v>
      </c>
      <c r="AI23" s="1162">
        <f t="shared" si="14"/>
        <v>34</v>
      </c>
      <c r="AJ23" s="1164">
        <f t="shared" si="14"/>
        <v>0</v>
      </c>
      <c r="AK23" s="1167">
        <f t="shared" si="14"/>
        <v>0</v>
      </c>
      <c r="AL23" s="1171">
        <f>IF(ISNUMBER(NºAsuntos!G23/NºAsuntos!E23),NºAsuntos!G23/NºAsuntos!E23," - ")</f>
        <v>1.2156862745098038</v>
      </c>
      <c r="AM23" s="1171">
        <f>IF(ISNUMBER(((NºAsuntos!I23/NºAsuntos!G23)*11)/factor_trimestre),((NºAsuntos!I23/NºAsuntos!G23)*11)/factor_trimestre," - ")</f>
        <v>4.1008064516129039</v>
      </c>
      <c r="AN23" s="1172">
        <f>IF(ISNUMBER('Resol  Asuntos'!D23/NºAsuntos!G23),'Resol  Asuntos'!D23/NºAsuntos!G23," - ")</f>
        <v>0.13709677419354838</v>
      </c>
      <c r="AO23" s="1173">
        <f>IF(ISNUMBER((NºAsuntos!C23+NºAsuntos!E23)/NºAsuntos!G23),(NºAsuntos!C23+NºAsuntos!E23)/NºAsuntos!G23," - ")</f>
        <v>2.3669354838709675</v>
      </c>
      <c r="AP23" s="1174" t="str">
        <f t="shared" si="2"/>
        <v xml:space="preserve"> - </v>
      </c>
      <c r="AQ23" s="1174">
        <f>IF(ISNUMBER((H23-W23+K23)/(F23)),(H23-W23+K23)/(F23)," - ")</f>
        <v>-0.68508287292817682</v>
      </c>
      <c r="AR23" s="1175">
        <f>IF(ISNUMBER((Datos!P23-Datos!Q23)/(Datos!R23-Datos!P23+Datos!Q23)),(Datos!P23-Datos!Q23)/(Datos!R23-Datos!P23+Datos!Q23)," - ")</f>
        <v>0.2857142857142857</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v>
      </c>
      <c r="F31" s="1117">
        <f t="shared" si="20"/>
        <v>364</v>
      </c>
      <c r="G31" s="1118">
        <f t="shared" si="20"/>
        <v>385</v>
      </c>
      <c r="H31" s="1117">
        <f t="shared" si="20"/>
        <v>0</v>
      </c>
      <c r="I31" s="1119">
        <f t="shared" si="20"/>
        <v>0</v>
      </c>
      <c r="J31" s="1119">
        <f t="shared" si="20"/>
        <v>0</v>
      </c>
      <c r="K31" s="1180">
        <f t="shared" si="20"/>
        <v>0</v>
      </c>
      <c r="L31" s="1119">
        <f t="shared" si="20"/>
        <v>37</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248</v>
      </c>
      <c r="X31" s="1118">
        <f t="shared" si="21"/>
        <v>31</v>
      </c>
      <c r="Y31" s="1125">
        <f t="shared" si="21"/>
        <v>279</v>
      </c>
      <c r="Z31" s="1125">
        <f t="shared" si="21"/>
        <v>0</v>
      </c>
      <c r="AA31" s="1125">
        <f t="shared" si="21"/>
        <v>342</v>
      </c>
      <c r="AB31" s="1125">
        <f t="shared" si="21"/>
        <v>470</v>
      </c>
      <c r="AC31" s="1125">
        <f t="shared" si="21"/>
        <v>369</v>
      </c>
      <c r="AD31" s="1125">
        <f t="shared" si="21"/>
        <v>0</v>
      </c>
      <c r="AE31" s="1127">
        <f t="shared" si="21"/>
        <v>0</v>
      </c>
      <c r="AF31" s="1128">
        <f t="shared" si="21"/>
        <v>0</v>
      </c>
      <c r="AG31" s="1129">
        <f t="shared" si="21"/>
        <v>0</v>
      </c>
      <c r="AH31" s="1127">
        <f t="shared" si="21"/>
        <v>0</v>
      </c>
      <c r="AI31" s="1117">
        <f t="shared" si="21"/>
        <v>73</v>
      </c>
      <c r="AJ31" s="1117">
        <f t="shared" si="21"/>
        <v>0</v>
      </c>
      <c r="AK31" s="1127">
        <f t="shared" si="21"/>
        <v>0</v>
      </c>
      <c r="AL31" s="1183">
        <f>IF(ISNUMBER(NºAsuntos!G31/NºAsuntos!E31),NºAsuntos!G31/NºAsuntos!E31," - ")</f>
        <v>1.0426065162907268</v>
      </c>
      <c r="AM31" s="1184">
        <f>IF(ISNUMBER(((NºAsuntos!I31/NºAsuntos!G31)*11)/factor_trimestre),((NºAsuntos!I31/NºAsuntos!G31)*11)/factor_trimestre," - ")</f>
        <v>6.0432692307692308</v>
      </c>
      <c r="AN31" s="1184">
        <f>IF(ISNUMBER('Resol  Asuntos'!D31/NºAsuntos!G31),'Resol  Asuntos'!D31/NºAsuntos!G31," - ")</f>
        <v>0.17548076923076922</v>
      </c>
      <c r="AO31" s="1185">
        <f>IF(ISNUMBER((NºAsuntos!C31+NºAsuntos!E31)/NºAsuntos!G31),(NºAsuntos!C31+NºAsuntos!E31)/NºAsuntos!G31," - ")</f>
        <v>3.0144230769230771</v>
      </c>
      <c r="AP31" s="1186" t="str">
        <f t="shared" si="2"/>
        <v xml:space="preserve"> - </v>
      </c>
      <c r="AQ31" s="1187">
        <f>IF(OR(ISNUMBER(FIND("01",Criterios!A8,1)),ISNUMBER(FIND("02",Criterios!A8,1)),ISNUMBER(FIND("03",Criterios!A8,1)),ISNUMBER(FIND("04",Criterios!A8,1))),(I31-W31+K31)/(F31-K31),(H31-W31+K31)/(F31-K31))</f>
        <v>-0.68131868131868134</v>
      </c>
      <c r="AR31" s="1188">
        <f>IF(ISNUMBER((Datos!P31-Datos!Q31)/(Datos!R31-Datos!P31+Datos!Q31)),(Datos!P31-Datos!Q31)/(Datos!R31-Datos!P31+Datos!Q31)," - ")</f>
        <v>1.2931034482758621E-2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110</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0.4188539082916955</v>
      </c>
      <c r="F33" s="276">
        <f>IF(ISNUMBER(STDEV(F8:F30)),STDEV(F8:F30),"-")</f>
        <v>186.42174408224665</v>
      </c>
      <c r="G33" s="277">
        <f>IF(ISNUMBER(STDEV(G8:G30)),STDEV(G8:G30),"-")</f>
        <v>179.57449707572621</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118.99499789406916</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19.60138479073062</v>
      </c>
      <c r="AJ33" s="276">
        <f t="shared" si="25"/>
        <v>0</v>
      </c>
      <c r="AK33" s="278">
        <f t="shared" si="25"/>
        <v>0</v>
      </c>
      <c r="AL33" s="273">
        <f t="shared" si="25"/>
        <v>0.45098799906106224</v>
      </c>
      <c r="AM33" s="274">
        <f t="shared" si="25"/>
        <v>3.0315812830322981</v>
      </c>
      <c r="AN33" s="274">
        <f t="shared" si="25"/>
        <v>9.5182098507834781E-2</v>
      </c>
      <c r="AO33" s="275">
        <f t="shared" si="25"/>
        <v>1.0105270943441012</v>
      </c>
      <c r="AP33" s="317" t="str">
        <f t="shared" si="25"/>
        <v>-</v>
      </c>
      <c r="AQ33" s="318">
        <f t="shared" si="25"/>
        <v>0.48442674512227568</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tGKHD6JHjQIbThkr9w3hDcbTtARSOA9jB8JWX6f/4AP5kobDmtgyvGQYyJRZzpAUIH02DgaKgm0wrOKJE41EXg==" saltValue="fcN/vGHaNlA3Ov8BteSAs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ASTURIAS</v>
      </c>
      <c r="E2" s="287"/>
    </row>
    <row r="3" spans="2:20" ht="17.25" customHeight="1">
      <c r="C3" s="291"/>
      <c r="D3" s="286" t="str">
        <f>Criterios!A10 &amp;"  "&amp;Criterios!B10</f>
        <v>Provincias  ASTURIAS</v>
      </c>
      <c r="E3" s="287"/>
    </row>
    <row r="4" spans="2:20" ht="17.25" customHeight="1" thickBot="1">
      <c r="D4" s="286" t="str">
        <f>Criterios!A11 &amp;"  "&amp;Criterios!B11</f>
        <v>Resumenes por Partidos Judiciales  VALDES</v>
      </c>
      <c r="E4" s="287"/>
    </row>
    <row r="5" spans="2:20" ht="12.75" customHeight="1">
      <c r="B5" s="297"/>
      <c r="C5" s="1649" t="str">
        <f>"Año:  " &amp;Criterios!B5 &amp; "          Trimestre   " &amp;Criterios!D5 &amp; " al " &amp;Criterios!D6</f>
        <v>Año:  2022          Trimestre   4 al 4</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-0.6</v>
      </c>
      <c r="E10" s="393" t="str">
        <f>IF(ISNUMBER((Datos!J10-Datos!T10)/Datos!T10),(Datos!J10-Datos!T10)/Datos!T10," - ")</f>
        <v xml:space="preserve"> - </v>
      </c>
      <c r="F10" s="393">
        <f>IF(ISNUMBER((Datos!K10-Datos!U10)/Datos!U10),(Datos!K10-Datos!U10)/Datos!U10," - ")</f>
        <v>-1</v>
      </c>
      <c r="G10" s="394">
        <f>IF(ISNUMBER((Datos!L10-Datos!V10)/Datos!V10),(Datos!L10-Datos!V10)/Datos!V10," - ")</f>
        <v>0.5</v>
      </c>
      <c r="H10" s="244">
        <f>IF(ISNUMBER((Datos!M10-Datos!W10)/Datos!W10),(Datos!M10-Datos!W10)/Datos!W10," - ")</f>
        <v>-1</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-0.30357142857142855</v>
      </c>
      <c r="I12" s="395">
        <f>IF(ISNUMBER((Tasas!C12-Datos!BE12)/Datos!BE12),(Tasas!C12-Datos!BE12)/Datos!BE12," - ")</f>
        <v>0.18852258852258863</v>
      </c>
      <c r="J12" s="394">
        <f>IF(ISNUMBER((Tasas!D12-Datos!BF12)/Datos!BF12),(Tasas!D12-Datos!BF12)/Datos!BF12," - ")</f>
        <v>-0.28536414565826324</v>
      </c>
      <c r="K12" s="396">
        <f>IF(ISNUMBER((Tasas!E12-Datos!BG12)/Datos!BG12),(Tasas!E12-Datos!BG12)/Datos!BG12," - ")</f>
        <v>0.13441281448594072</v>
      </c>
      <c r="M12" t="e">
        <f>IF(Monitorios="SI",Datos!CE12,0)</f>
        <v>#REF!</v>
      </c>
      <c r="N12" t="e">
        <f>IF(Monitorios="SI",Datos!CF12,0)</f>
        <v>#REF!</v>
      </c>
      <c r="O12" t="e">
        <f>IF(Monitorios="SI",Datos!CG12,0)</f>
        <v>#REF!</v>
      </c>
      <c r="P12" t="e">
        <f>IF(Monitorios="SI",Datos!CH12,0)</f>
        <v>#REF!</v>
      </c>
      <c r="Q12">
        <f>IF(J_V="SI",0,Datos!AG12)</f>
        <v>4</v>
      </c>
      <c r="R12">
        <f>IF(J_V="SI",0,Datos!AH12)</f>
        <v>20</v>
      </c>
      <c r="S12">
        <f>IF(J_V="SI",0,Datos!AI12)</f>
        <v>21</v>
      </c>
      <c r="T12">
        <f>IF(J_V="SI",0,Datos!AJ12)</f>
        <v>3</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-0.32758620689655171</v>
      </c>
      <c r="I14" s="402">
        <f>IF(ISNUMBER((Tasas!C14-Datos!BE14)/Datos!BE14),(Tasas!C14-Datos!BE14)/Datos!BE14," - ")</f>
        <v>0.21234207968901841</v>
      </c>
      <c r="J14" s="400">
        <f>IF(ISNUMBER((Tasas!D14-Datos!BF14)/Datos!BF14),(Tasas!D14-Datos!BF14)/Datos!BF14," - ")</f>
        <v>-0.29919137466307272</v>
      </c>
      <c r="K14" s="403">
        <f>IF(ISNUMBER((Tasas!E14-Datos!BG14)/Datos!BG14),(Tasas!E14-Datos!BG14)/Datos!BG14," - ")</f>
        <v>0.15079365079365076</v>
      </c>
      <c r="M14" t="e">
        <f>IF(Monitorios="SI",Datos!CE14,0)</f>
        <v>#REF!</v>
      </c>
      <c r="N14" t="e">
        <f>IF(Monitorios="SI",Datos!CF14,0)</f>
        <v>#REF!</v>
      </c>
      <c r="O14" t="e">
        <f>IF(Monitorios="SI",Datos!CG14,0)</f>
        <v>#REF!</v>
      </c>
      <c r="P14" t="e">
        <f>IF(Monitorios="SI",Datos!CH14,0)</f>
        <v>#REF!</v>
      </c>
      <c r="Q14">
        <f>IF(J_V="SI",0,Datos!AG14)</f>
        <v>4</v>
      </c>
      <c r="R14">
        <f>IF(J_V="SI",0,Datos!AH14)</f>
        <v>20</v>
      </c>
      <c r="S14">
        <f>IF(J_V="SI",0,Datos!AI14)</f>
        <v>21</v>
      </c>
      <c r="T14">
        <f>IF(J_V="SI",0,Datos!AJ14)</f>
        <v>3</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5.8479532163742687E-2</v>
      </c>
      <c r="E17" s="393">
        <f>IF(ISNUMBER(
   IF(D_I="SI",(Datos!J17-Datos!T17)/Datos!T17,(Datos!J17+Datos!AD17-(Datos!T17+Datos!AL17))/(Datos!T17+Datos!AL17))
     ),IF(D_I="SI",(Datos!J17-Datos!T17)/Datos!T17,(Datos!J17+Datos!AD17-(Datos!T17+Datos!AL17))/(Datos!T17+Datos!AL17))," - ")</f>
        <v>-6.1611374407582936E-2</v>
      </c>
      <c r="F17" s="393">
        <f>IF(ISNUMBER(
   IF(D_I="SI",(Datos!K17-Datos!U17)/Datos!U17,(Datos!K17+Datos!AE17-(Datos!U17+Datos!AM17))/(Datos!U17+Datos!AM17))
     ),IF(D_I="SI",(Datos!K17-Datos!U17)/Datos!U17,(Datos!K17+Datos!AE17-(Datos!U17+Datos!AM17))/(Datos!U17+Datos!AM17))," - ")</f>
        <v>0.28723404255319152</v>
      </c>
      <c r="G17" s="394">
        <f>IF(ISNUMBER(
   IF(D_I="SI",(Datos!L17-Datos!V17)/Datos!V17,(Datos!L17+Datos!AF17-(Datos!V17+Datos!AN17))/(Datos!V17+Datos!AN17))
     ),IF(D_I="SI",(Datos!L17-Datos!V17)/Datos!V17,(Datos!L17+Datos!AF17-(Datos!V17+Datos!AN17))/(Datos!V17+Datos!AN17))," - ")</f>
        <v>-0.13114754098360656</v>
      </c>
      <c r="H17" s="244">
        <f>IF(ISNUMBER((Datos!M17-Datos!W17)/Datos!W17),(Datos!M17-Datos!W17)/Datos!W17," - ")</f>
        <v>-0.12820512820512819</v>
      </c>
      <c r="I17" s="395">
        <f>IF(ISNUMBER((Tasas!C17-Datos!BE17)/Datos!BE17),(Tasas!C17-Datos!BE17)/Datos!BE17," - ")</f>
        <v>-0.3250237095244547</v>
      </c>
      <c r="J17" s="394">
        <f>IF(ISNUMBER((Tasas!D17-Datos!BF17)/Datos!BF17),(Tasas!D17-Datos!BF17)/Datos!BF17," - ")</f>
        <v>-0.32273786819241362</v>
      </c>
      <c r="K17" s="396">
        <f>IF(ISNUMBER((Tasas!E17-Datos!BG17)/Datos!BG17),(Tasas!E17-Datos!BG17)/Datos!BG17," - ")</f>
        <v>-0.21330683125849989</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-0.27586206896551724</v>
      </c>
      <c r="E18" s="393">
        <f>IF(ISNUMBER(
   IF(D_I="SI",(Datos!J18-Datos!T18)/Datos!T18,(Datos!J18+Datos!AD18-(Datos!T18+Datos!AL18))/(Datos!T18+Datos!AL18))
     ),IF(D_I="SI",(Datos!J18-Datos!T18)/Datos!T18,(Datos!J18+Datos!AD18-(Datos!T18+Datos!AL18))/(Datos!T18+Datos!AL18))," - ")</f>
        <v>-0.5</v>
      </c>
      <c r="F18" s="393">
        <f>IF(ISNUMBER(
   IF(D_I="SI",(Datos!K18-Datos!U18)/Datos!U18,(Datos!K18+Datos!AE18-(Datos!U18+Datos!AM18))/(Datos!U18+Datos!AM18))
     ),IF(D_I="SI",(Datos!K18-Datos!U18)/Datos!U18,(Datos!K18+Datos!AE18-(Datos!U18+Datos!AM18))/(Datos!U18+Datos!AM18))," - ")</f>
        <v>-0.7</v>
      </c>
      <c r="G18" s="394">
        <f>IF(ISNUMBER(
   IF(D_I="SI",(Datos!L18-Datos!V18)/Datos!V18,(Datos!L18+Datos!AF18-(Datos!V18+Datos!AN18))/(Datos!V18+Datos!AN18))
     ),IF(D_I="SI",(Datos!L18-Datos!V18)/Datos!V18,(Datos!L18+Datos!AF18-(Datos!V18+Datos!AN18))/(Datos!V18+Datos!AN18))," - ")</f>
        <v>0</v>
      </c>
      <c r="H18" s="244">
        <f>IF(ISNUMBER((Datos!M18-Datos!W18)/Datos!W18),(Datos!M18-Datos!W18)/Datos!W18," - ")</f>
        <v>-1</v>
      </c>
      <c r="I18" s="395">
        <f>IF(ISNUMBER((Tasas!C18-Datos!BE18)/Datos!BE18),(Tasas!C18-Datos!BE18)/Datos!BE18," - ")</f>
        <v>2.3333333333333335</v>
      </c>
      <c r="J18" s="394">
        <f>IF(ISNUMBER((Tasas!D18-Datos!BF18)/Datos!BF18),(Tasas!D18-Datos!BF18)/Datos!BF18," - ")</f>
        <v>-1</v>
      </c>
      <c r="K18" s="396">
        <f>IF(ISNUMBER((Tasas!E18-Datos!BG18)/Datos!BG18),(Tasas!E18-Datos!BG18)/Datos!BG18," - ")</f>
        <v>1.1951219512195124</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3.2345013477088951E-2</v>
      </c>
      <c r="E23" s="399">
        <f>IF(ISNUMBER(
   IF(D_I="SI",(Datos!J23-Datos!T23)/Datos!T23,(Datos!J23+Datos!AD23-(Datos!T23+Datos!AL23))/(Datos!T23+Datos!AL23))
     ),IF(D_I="SI",(Datos!J23-Datos!T23)/Datos!T23,(Datos!J23+Datos!AD23-(Datos!T23+Datos!AL23))/(Datos!T23+Datos!AL23))," - ")</f>
        <v>-8.520179372197309E-2</v>
      </c>
      <c r="F23" s="399">
        <f>IF(ISNUMBER(
   IF(D_I="SI",(Datos!K23-Datos!U23)/Datos!U23,(Datos!K23+Datos!AE23-(Datos!U23+Datos!AM23))/(Datos!U23+Datos!AM23))
     ),IF(D_I="SI",(Datos!K23-Datos!U23)/Datos!U23,(Datos!K23+Datos!AE23-(Datos!U23+Datos!AM23))/(Datos!U23+Datos!AM23))," - ")</f>
        <v>0.19230769230769232</v>
      </c>
      <c r="G23" s="400">
        <f>IF(ISNUMBER(
   IF(D_I="SI",(Datos!L23-Datos!V23)/Datos!V23,(Datos!L23+Datos!AF23-(Datos!V23+Datos!AN23))/(Datos!V23+Datos!AN23))
     ),IF(D_I="SI",(Datos!L23-Datos!V23)/Datos!V23,(Datos!L23+Datos!AF23-(Datos!V23+Datos!AN23))/(Datos!V23+Datos!AN23))," - ")</f>
        <v>-0.12403100775193798</v>
      </c>
      <c r="H23" s="401">
        <f>IF(ISNUMBER((Datos!M23-Datos!W23)/Datos!W23),(Datos!M23-Datos!W23)/Datos!W23," - ")</f>
        <v>-0.22727272727272727</v>
      </c>
      <c r="I23" s="402">
        <f>IF(ISNUMBER((Tasas!C23-Datos!BE23)/Datos!BE23),(Tasas!C23-Datos!BE23)/Datos!BE23," - ")</f>
        <v>-0.2653163290822706</v>
      </c>
      <c r="J23" s="400">
        <f>IF(ISNUMBER((Tasas!D23-Datos!BF23)/Datos!BF23),(Tasas!D23-Datos!BF23)/Datos!BF23," - ")</f>
        <v>-0.35190615835777128</v>
      </c>
      <c r="K23" s="403">
        <f>IF(ISNUMBER((Tasas!E23-Datos!BG23)/Datos!BG23),(Tasas!E23-Datos!BG23)/Datos!BG23," - ")</f>
        <v>-0.17117410665797772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0.20592383638928069</v>
      </c>
      <c r="E31" s="409">
        <f>IF(ISNUMBER(
   IF(J_V="SI",(Datos!J31-Datos!T31)/Datos!T31,(Datos!J31+Datos!Z31-(Datos!T31+Datos!AH31))/(Datos!T31+Datos!AH31))
     ),IF(J_V="SI",(Datos!J31-Datos!T31)/Datos!T31,(Datos!J31+Datos!Z31-(Datos!T31+Datos!AH31))/(Datos!T31+Datos!AH31))," - ")</f>
        <v>-8.6956521739130432E-2</v>
      </c>
      <c r="F31" s="409">
        <f>IF(ISNUMBER(
   IF(J_V="SI",(Datos!K31-Datos!U31)/Datos!U31,(Datos!K31+Datos!AA31-(Datos!U31+Datos!AI31))/(Datos!U31+Datos!AI31))
     ),IF(J_V="SI",(Datos!K31-Datos!U31)/Datos!U31,(Datos!K31+Datos!AA31-(Datos!U31+Datos!AI31))/(Datos!U31+Datos!AI31))," - ")</f>
        <v>0.13043478260869565</v>
      </c>
      <c r="G31" s="410">
        <f>IF(ISNUMBER(
   IF(J_V="SI",(Datos!L31-Datos!V31)/Datos!V31,(Datos!L31+Datos!AB31-(Datos!V31+Datos!AJ31))/(Datos!V31+Datos!AJ31))
     ),IF(J_V="SI",(Datos!L31-Datos!V31)/Datos!V31,(Datos!L31+Datos!AB31-(Datos!V31+Datos!AJ31))/(Datos!V31+Datos!AJ31))," - ")</f>
        <v>7.5738125802310652E-2</v>
      </c>
      <c r="H31" s="411">
        <f>IF(ISNUMBER((Datos!M31-Datos!W31)/Datos!W31),(Datos!M31-Datos!W31)/Datos!W31," - ")</f>
        <v>-0.28431372549019607</v>
      </c>
      <c r="I31" s="408">
        <f>IF(ISNUMBER((Tasas!C31-Datos!BE31)/Datos!BE31),(Tasas!C31-Datos!BE31)/Datos!BE31," - ")</f>
        <v>-4.8385504097955889E-2</v>
      </c>
      <c r="J31" s="409">
        <f>IF(ISNUMBER((Tasas!D31-Datos!BF31)/Datos!BF31),(Tasas!D31-Datos!BF31)/Datos!BF31," - ")</f>
        <v>-0.3342585249801745</v>
      </c>
      <c r="K31" s="410">
        <f>IF(ISNUMBER((Tasas!E31-Datos!BG31)/Datos!BG31),(Tasas!E31-Datos!BG31)/Datos!BG31," - ")</f>
        <v>-3.2017720499395892E-2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0.30902802376479277</v>
      </c>
      <c r="E33" s="303">
        <f t="shared" si="1"/>
        <v>0.24657610281064204</v>
      </c>
      <c r="F33" s="303">
        <f t="shared" si="1"/>
        <v>0.64215939077603967</v>
      </c>
      <c r="G33" s="304">
        <f t="shared" si="1"/>
        <v>0.29866312273206164</v>
      </c>
      <c r="H33" s="310">
        <f t="shared" si="1"/>
        <v>0.39519426194155016</v>
      </c>
      <c r="I33" s="302">
        <f t="shared" si="1"/>
        <v>1.0933757522935985</v>
      </c>
      <c r="J33" s="303">
        <f t="shared" si="1"/>
        <v>0.30746923896491707</v>
      </c>
      <c r="K33" s="304">
        <f t="shared" si="1"/>
        <v>0.5709084970231576</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5fwzMC0rxtUlYRQWhZQJyEA908Zc0AIv+ZBBjo4u1naKEVQql6OrZeAaCf/KM4i1/NejHtHSkSPGBrM5COXFjw==" saltValue="BLK8nBBZXLjhC5cRi6JrU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2023-05-06T04:01:55Z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